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yulya\Desktop\Меню\"/>
    </mc:Choice>
  </mc:AlternateContent>
  <xr:revisionPtr revIDLastSave="0" documentId="8_{B439C4BE-7B2B-47C9-9E6D-A9406E78D4EA}" xr6:coauthVersionLast="47" xr6:coauthVersionMax="47" xr10:uidLastSave="{00000000-0000-0000-0000-000000000000}"/>
  <bookViews>
    <workbookView xWindow="-110" yWindow="-110" windowWidth="19420" windowHeight="10420"/>
  </bookViews>
  <sheets>
    <sheet name="4" sheetId="4" r:id="rId1"/>
  </sheets>
  <calcPr calcId="181029"/>
</workbook>
</file>

<file path=xl/calcChain.xml><?xml version="1.0" encoding="utf-8"?>
<calcChain xmlns="http://schemas.openxmlformats.org/spreadsheetml/2006/main">
  <c r="S64" i="4" l="1"/>
  <c r="R64" i="4"/>
  <c r="Q64" i="4"/>
  <c r="P64" i="4"/>
  <c r="O64" i="4"/>
  <c r="N64" i="4"/>
  <c r="M64" i="4"/>
  <c r="L64" i="4"/>
  <c r="K64" i="4"/>
  <c r="J64" i="4"/>
  <c r="I64" i="4"/>
  <c r="H64" i="4"/>
  <c r="R56" i="4"/>
  <c r="Q56" i="4"/>
  <c r="P56" i="4"/>
  <c r="L56" i="4"/>
  <c r="K56" i="4"/>
  <c r="I56" i="4"/>
  <c r="H56" i="4"/>
  <c r="R17" i="4"/>
  <c r="Q17" i="4"/>
  <c r="P17" i="4"/>
  <c r="L17" i="4"/>
  <c r="K17" i="4"/>
  <c r="I17" i="4"/>
  <c r="H17" i="4"/>
  <c r="I9" i="4"/>
  <c r="S48" i="4"/>
  <c r="R48" i="4"/>
  <c r="Q48" i="4"/>
  <c r="P48" i="4"/>
  <c r="O48" i="4"/>
  <c r="N48" i="4"/>
  <c r="M48" i="4"/>
  <c r="L48" i="4"/>
  <c r="K48" i="4"/>
  <c r="J48" i="4"/>
  <c r="I48" i="4"/>
  <c r="H48" i="4"/>
  <c r="S9" i="4"/>
  <c r="R9" i="4"/>
  <c r="Q9" i="4"/>
  <c r="P9" i="4"/>
  <c r="O9" i="4"/>
  <c r="N9" i="4"/>
  <c r="N14" i="4"/>
  <c r="M9" i="4"/>
  <c r="L9" i="4"/>
  <c r="K9" i="4"/>
  <c r="J9" i="4"/>
  <c r="H9" i="4"/>
  <c r="S25" i="4"/>
  <c r="S26" i="4"/>
  <c r="R25" i="4"/>
  <c r="Q25" i="4"/>
  <c r="P25" i="4"/>
  <c r="P26" i="4"/>
  <c r="O25" i="4"/>
  <c r="N25" i="4"/>
  <c r="M25" i="4"/>
  <c r="L25" i="4"/>
  <c r="K25" i="4"/>
  <c r="J25" i="4"/>
  <c r="I25" i="4"/>
  <c r="H25" i="4"/>
  <c r="L65" i="4"/>
  <c r="H11" i="4"/>
  <c r="I11" i="4"/>
  <c r="J11" i="4"/>
  <c r="J14" i="4"/>
  <c r="K11" i="4"/>
  <c r="L11" i="4"/>
  <c r="O11" i="4"/>
  <c r="O14" i="4"/>
  <c r="P11" i="4"/>
  <c r="P14" i="4"/>
  <c r="Q11" i="4"/>
  <c r="Q14" i="4"/>
  <c r="Q39" i="4"/>
  <c r="R11" i="4"/>
  <c r="R14" i="4"/>
  <c r="S11" i="4"/>
  <c r="S14" i="4"/>
  <c r="H12" i="4"/>
  <c r="H14" i="4"/>
  <c r="I12" i="4"/>
  <c r="J12" i="4"/>
  <c r="K12" i="4"/>
  <c r="K14" i="4"/>
  <c r="L12" i="4"/>
  <c r="L14" i="4"/>
  <c r="M12" i="4"/>
  <c r="O12" i="4"/>
  <c r="P12" i="4"/>
  <c r="Q12" i="4"/>
  <c r="G14" i="4"/>
  <c r="I14" i="4"/>
  <c r="H16" i="4"/>
  <c r="I16" i="4"/>
  <c r="I22" i="4"/>
  <c r="J16" i="4"/>
  <c r="K16" i="4"/>
  <c r="L16" i="4"/>
  <c r="M16" i="4"/>
  <c r="M22" i="4"/>
  <c r="O16" i="4"/>
  <c r="P16" i="4"/>
  <c r="Q16" i="4"/>
  <c r="Q22" i="4"/>
  <c r="R16" i="4"/>
  <c r="S16" i="4"/>
  <c r="J17" i="4"/>
  <c r="M17" i="4"/>
  <c r="N17" i="4"/>
  <c r="O17" i="4"/>
  <c r="S17" i="4"/>
  <c r="H18" i="4"/>
  <c r="I18" i="4"/>
  <c r="J18" i="4"/>
  <c r="K18" i="4"/>
  <c r="L18" i="4"/>
  <c r="M18" i="4"/>
  <c r="N18" i="4"/>
  <c r="O18" i="4"/>
  <c r="P18" i="4"/>
  <c r="Q18" i="4"/>
  <c r="R18" i="4"/>
  <c r="S18" i="4"/>
  <c r="H19" i="4"/>
  <c r="I19" i="4"/>
  <c r="J19" i="4"/>
  <c r="K19" i="4"/>
  <c r="L19" i="4"/>
  <c r="O19" i="4"/>
  <c r="P19" i="4"/>
  <c r="Q19" i="4"/>
  <c r="R19" i="4"/>
  <c r="S19" i="4"/>
  <c r="H20" i="4"/>
  <c r="H22" i="4"/>
  <c r="I20" i="4"/>
  <c r="J20" i="4"/>
  <c r="K20" i="4"/>
  <c r="L20" i="4"/>
  <c r="O20" i="4"/>
  <c r="P20" i="4"/>
  <c r="Q20" i="4"/>
  <c r="R20" i="4"/>
  <c r="S20" i="4"/>
  <c r="H21" i="4"/>
  <c r="I21" i="4"/>
  <c r="J21" i="4"/>
  <c r="K21" i="4"/>
  <c r="L21" i="4"/>
  <c r="M21" i="4"/>
  <c r="P21" i="4"/>
  <c r="Q21" i="4"/>
  <c r="R21" i="4"/>
  <c r="S21" i="4"/>
  <c r="G22" i="4"/>
  <c r="H24" i="4"/>
  <c r="H26" i="4"/>
  <c r="I24" i="4"/>
  <c r="I26" i="4"/>
  <c r="J24" i="4"/>
  <c r="J26" i="4"/>
  <c r="K24" i="4"/>
  <c r="K26" i="4"/>
  <c r="G26" i="4"/>
  <c r="L26" i="4"/>
  <c r="M26" i="4"/>
  <c r="N26" i="4"/>
  <c r="O26" i="4"/>
  <c r="Q26" i="4"/>
  <c r="R26" i="4"/>
  <c r="H29" i="4"/>
  <c r="I29" i="4"/>
  <c r="J29" i="4"/>
  <c r="K29" i="4"/>
  <c r="L29" i="4"/>
  <c r="L35" i="4"/>
  <c r="M29" i="4"/>
  <c r="P29" i="4"/>
  <c r="Q29" i="4"/>
  <c r="Q35" i="4"/>
  <c r="R29" i="4"/>
  <c r="S29" i="4"/>
  <c r="H30" i="4"/>
  <c r="H35" i="4"/>
  <c r="I30" i="4"/>
  <c r="J30" i="4"/>
  <c r="K30" i="4"/>
  <c r="L30" i="4"/>
  <c r="M30" i="4"/>
  <c r="N30" i="4"/>
  <c r="O30" i="4"/>
  <c r="P30" i="4"/>
  <c r="Q30" i="4"/>
  <c r="R30" i="4"/>
  <c r="S30" i="4"/>
  <c r="H31" i="4"/>
  <c r="I31" i="4"/>
  <c r="J31" i="4"/>
  <c r="K31" i="4"/>
  <c r="L31" i="4"/>
  <c r="M31" i="4"/>
  <c r="N31" i="4"/>
  <c r="O31" i="4"/>
  <c r="P31" i="4"/>
  <c r="Q31" i="4"/>
  <c r="R31" i="4"/>
  <c r="S31" i="4"/>
  <c r="H32" i="4"/>
  <c r="I32" i="4"/>
  <c r="I35" i="4"/>
  <c r="J32" i="4"/>
  <c r="K32" i="4"/>
  <c r="L32" i="4"/>
  <c r="O32" i="4"/>
  <c r="P32" i="4"/>
  <c r="Q32" i="4"/>
  <c r="R32" i="4"/>
  <c r="S32" i="4"/>
  <c r="H33" i="4"/>
  <c r="I33" i="4"/>
  <c r="J33" i="4"/>
  <c r="K33" i="4"/>
  <c r="L33" i="4"/>
  <c r="O33" i="4"/>
  <c r="P33" i="4"/>
  <c r="Q33" i="4"/>
  <c r="R33" i="4"/>
  <c r="S33" i="4"/>
  <c r="S35" i="4"/>
  <c r="H34" i="4"/>
  <c r="J34" i="4"/>
  <c r="K34" i="4"/>
  <c r="L34" i="4"/>
  <c r="M34" i="4"/>
  <c r="P34" i="4"/>
  <c r="Q34" i="4"/>
  <c r="R34" i="4"/>
  <c r="R35" i="4"/>
  <c r="S34" i="4"/>
  <c r="G35" i="4"/>
  <c r="P37" i="4"/>
  <c r="P38" i="4"/>
  <c r="H38" i="4"/>
  <c r="I38" i="4"/>
  <c r="J38" i="4"/>
  <c r="K38" i="4"/>
  <c r="L38" i="4"/>
  <c r="M38" i="4"/>
  <c r="N38" i="4"/>
  <c r="O38" i="4"/>
  <c r="Q38" i="4"/>
  <c r="R38" i="4"/>
  <c r="S38" i="4"/>
  <c r="H50" i="4"/>
  <c r="H53" i="4"/>
  <c r="I50" i="4"/>
  <c r="J50" i="4"/>
  <c r="K50" i="4"/>
  <c r="L50" i="4"/>
  <c r="O50" i="4"/>
  <c r="P50" i="4"/>
  <c r="P53" i="4"/>
  <c r="Q50" i="4"/>
  <c r="R50" i="4"/>
  <c r="S50" i="4"/>
  <c r="S53" i="4"/>
  <c r="H51" i="4"/>
  <c r="I51" i="4"/>
  <c r="J51" i="4"/>
  <c r="J53" i="4"/>
  <c r="K51" i="4"/>
  <c r="L51" i="4"/>
  <c r="M51" i="4"/>
  <c r="M53" i="4"/>
  <c r="O51" i="4"/>
  <c r="P51" i="4"/>
  <c r="Q51" i="4"/>
  <c r="Q53" i="4"/>
  <c r="G53" i="4"/>
  <c r="N53" i="4"/>
  <c r="H55" i="4"/>
  <c r="H61" i="4"/>
  <c r="I55" i="4"/>
  <c r="J55" i="4"/>
  <c r="K55" i="4"/>
  <c r="L55" i="4"/>
  <c r="M55" i="4"/>
  <c r="M61" i="4"/>
  <c r="O55" i="4"/>
  <c r="P55" i="4"/>
  <c r="P61" i="4"/>
  <c r="P78" i="4"/>
  <c r="Q55" i="4"/>
  <c r="R55" i="4"/>
  <c r="S55" i="4"/>
  <c r="J56" i="4"/>
  <c r="M56" i="4"/>
  <c r="N56" i="4"/>
  <c r="N61" i="4"/>
  <c r="O56" i="4"/>
  <c r="S56" i="4"/>
  <c r="S61" i="4"/>
  <c r="H57" i="4"/>
  <c r="I57" i="4"/>
  <c r="J57" i="4"/>
  <c r="K57" i="4"/>
  <c r="K61" i="4"/>
  <c r="L57" i="4"/>
  <c r="M57" i="4"/>
  <c r="N57" i="4"/>
  <c r="O57" i="4"/>
  <c r="P57" i="4"/>
  <c r="Q57" i="4"/>
  <c r="R57" i="4"/>
  <c r="S57" i="4"/>
  <c r="H58" i="4"/>
  <c r="I58" i="4"/>
  <c r="J58" i="4"/>
  <c r="K58" i="4"/>
  <c r="L58" i="4"/>
  <c r="O58" i="4"/>
  <c r="P58" i="4"/>
  <c r="Q58" i="4"/>
  <c r="R58" i="4"/>
  <c r="S58" i="4"/>
  <c r="H59" i="4"/>
  <c r="I59" i="4"/>
  <c r="J59" i="4"/>
  <c r="K59" i="4"/>
  <c r="L59" i="4"/>
  <c r="O59" i="4"/>
  <c r="P59" i="4"/>
  <c r="Q59" i="4"/>
  <c r="R59" i="4"/>
  <c r="R61" i="4"/>
  <c r="S59" i="4"/>
  <c r="H60" i="4"/>
  <c r="I60" i="4"/>
  <c r="J60" i="4"/>
  <c r="K60" i="4"/>
  <c r="L60" i="4"/>
  <c r="M60" i="4"/>
  <c r="P60" i="4"/>
  <c r="Q60" i="4"/>
  <c r="R60" i="4"/>
  <c r="S60" i="4"/>
  <c r="G61" i="4"/>
  <c r="H63" i="4"/>
  <c r="I63" i="4"/>
  <c r="I65" i="4"/>
  <c r="J63" i="4"/>
  <c r="J65" i="4"/>
  <c r="K63" i="4"/>
  <c r="K65" i="4"/>
  <c r="G65" i="4"/>
  <c r="H65" i="4"/>
  <c r="M65" i="4"/>
  <c r="N65" i="4"/>
  <c r="O65" i="4"/>
  <c r="P65" i="4"/>
  <c r="Q65" i="4"/>
  <c r="R65" i="4"/>
  <c r="S65" i="4"/>
  <c r="H68" i="4"/>
  <c r="I68" i="4"/>
  <c r="J68" i="4"/>
  <c r="K68" i="4"/>
  <c r="L68" i="4"/>
  <c r="M68" i="4"/>
  <c r="P68" i="4"/>
  <c r="Q68" i="4"/>
  <c r="R68" i="4"/>
  <c r="S68" i="4"/>
  <c r="H69" i="4"/>
  <c r="I69" i="4"/>
  <c r="J69" i="4"/>
  <c r="K69" i="4"/>
  <c r="L69" i="4"/>
  <c r="M69" i="4"/>
  <c r="N69" i="4"/>
  <c r="N74" i="4"/>
  <c r="O69" i="4"/>
  <c r="P69" i="4"/>
  <c r="Q69" i="4"/>
  <c r="R69" i="4"/>
  <c r="R74" i="4"/>
  <c r="S69" i="4"/>
  <c r="H70" i="4"/>
  <c r="I70" i="4"/>
  <c r="J70" i="4"/>
  <c r="K70" i="4"/>
  <c r="L70" i="4"/>
  <c r="M70" i="4"/>
  <c r="N70" i="4"/>
  <c r="O70" i="4"/>
  <c r="P70" i="4"/>
  <c r="P74" i="4"/>
  <c r="Q70" i="4"/>
  <c r="R70" i="4"/>
  <c r="S70" i="4"/>
  <c r="H71" i="4"/>
  <c r="I71" i="4"/>
  <c r="J71" i="4"/>
  <c r="K71" i="4"/>
  <c r="L71" i="4"/>
  <c r="O71" i="4"/>
  <c r="P71" i="4"/>
  <c r="Q71" i="4"/>
  <c r="Q74" i="4"/>
  <c r="R71" i="4"/>
  <c r="S71" i="4"/>
  <c r="H72" i="4"/>
  <c r="I72" i="4"/>
  <c r="J72" i="4"/>
  <c r="K72" i="4"/>
  <c r="L72" i="4"/>
  <c r="O72" i="4"/>
  <c r="P72" i="4"/>
  <c r="Q72" i="4"/>
  <c r="R72" i="4"/>
  <c r="S72" i="4"/>
  <c r="G74" i="4"/>
  <c r="P76" i="4"/>
  <c r="P77" i="4"/>
  <c r="H77" i="4"/>
  <c r="I77" i="4"/>
  <c r="J77" i="4"/>
  <c r="K77" i="4"/>
  <c r="L77" i="4"/>
  <c r="M77" i="4"/>
  <c r="N77" i="4"/>
  <c r="O77" i="4"/>
  <c r="Q77" i="4"/>
  <c r="R77" i="4"/>
  <c r="S77" i="4"/>
  <c r="I53" i="4"/>
  <c r="R53" i="4"/>
  <c r="O53" i="4"/>
  <c r="R78" i="4"/>
  <c r="O35" i="4"/>
  <c r="N35" i="4"/>
  <c r="K22" i="4"/>
  <c r="H74" i="4"/>
  <c r="I74" i="4"/>
  <c r="L61" i="4"/>
  <c r="K53" i="4"/>
  <c r="M35" i="4"/>
  <c r="M39" i="4"/>
  <c r="J35" i="4"/>
  <c r="L22" i="4"/>
  <c r="L39" i="4"/>
  <c r="M14" i="4"/>
  <c r="J61" i="4"/>
  <c r="H78" i="4"/>
  <c r="I61" i="4"/>
  <c r="H39" i="4"/>
  <c r="I39" i="4"/>
  <c r="Q61" i="4"/>
  <c r="Q78" i="4"/>
  <c r="R22" i="4"/>
  <c r="R39" i="4"/>
  <c r="S74" i="4"/>
  <c r="S78" i="4"/>
  <c r="L74" i="4"/>
  <c r="O74" i="4"/>
  <c r="K74" i="4"/>
  <c r="J74" i="4"/>
  <c r="L53" i="4"/>
  <c r="S22" i="4"/>
  <c r="S39" i="4"/>
  <c r="P22" i="4"/>
  <c r="P39" i="4"/>
  <c r="N78" i="4"/>
  <c r="M74" i="4"/>
  <c r="M78" i="4"/>
  <c r="O61" i="4"/>
  <c r="P35" i="4"/>
  <c r="K35" i="4"/>
  <c r="K39" i="4"/>
  <c r="N22" i="4"/>
  <c r="N39" i="4"/>
  <c r="O22" i="4"/>
  <c r="O39" i="4"/>
  <c r="J22" i="4"/>
  <c r="J39" i="4"/>
  <c r="L78" i="4"/>
  <c r="O78" i="4"/>
  <c r="I78" i="4"/>
  <c r="K78" i="4"/>
  <c r="J78" i="4"/>
</calcChain>
</file>

<file path=xl/sharedStrings.xml><?xml version="1.0" encoding="utf-8"?>
<sst xmlns="http://schemas.openxmlformats.org/spreadsheetml/2006/main" count="172" uniqueCount="85">
  <si>
    <t>111/П`13</t>
  </si>
  <si>
    <t>429/П`13</t>
  </si>
  <si>
    <t>109/П`13</t>
  </si>
  <si>
    <t>Хлеб ржаной</t>
  </si>
  <si>
    <t>112/П`13</t>
  </si>
  <si>
    <t>108/П`13</t>
  </si>
  <si>
    <t>Батон нарезной</t>
  </si>
  <si>
    <t>Хлеб пшеничный</t>
  </si>
  <si>
    <t>Итого в Завтрак</t>
  </si>
  <si>
    <t>Итого в Обед</t>
  </si>
  <si>
    <t>Масса порции</t>
  </si>
  <si>
    <t>Витамины(мг)</t>
  </si>
  <si>
    <t>389/ДЛ`17</t>
  </si>
  <si>
    <t>386/ДЛ`17</t>
  </si>
  <si>
    <t>511/П`13</t>
  </si>
  <si>
    <t>500/П`13</t>
  </si>
  <si>
    <t>Салат из квашеной капусты с луком</t>
  </si>
  <si>
    <t>Пищевая вещества(г)</t>
  </si>
  <si>
    <t>Картофельное пюре</t>
  </si>
  <si>
    <t>Напиток клюквенный</t>
  </si>
  <si>
    <t>Прием пищи,наименование блюда</t>
  </si>
  <si>
    <t>Завтрак</t>
  </si>
  <si>
    <t>Обед</t>
  </si>
  <si>
    <t>№ рец</t>
  </si>
  <si>
    <t>Эн.цен</t>
  </si>
  <si>
    <t>Полдник</t>
  </si>
  <si>
    <t>Ужин</t>
  </si>
  <si>
    <t>2 Ужин</t>
  </si>
  <si>
    <t>Плов из отварной говядины</t>
  </si>
  <si>
    <t>Итого в Ужин</t>
  </si>
  <si>
    <t>Итого за 4 день</t>
  </si>
  <si>
    <t>Итого в 2 Ужин</t>
  </si>
  <si>
    <t>Итого в Полдник</t>
  </si>
  <si>
    <t>А</t>
  </si>
  <si>
    <t>У</t>
  </si>
  <si>
    <t>С</t>
  </si>
  <si>
    <t>Ж</t>
  </si>
  <si>
    <t>Fe</t>
  </si>
  <si>
    <t>Mg</t>
  </si>
  <si>
    <t>Ca</t>
  </si>
  <si>
    <t>Е</t>
  </si>
  <si>
    <t>P</t>
  </si>
  <si>
    <t>Б</t>
  </si>
  <si>
    <t>В1</t>
  </si>
  <si>
    <t>200</t>
  </si>
  <si>
    <t>20</t>
  </si>
  <si>
    <t>100</t>
  </si>
  <si>
    <t>40</t>
  </si>
  <si>
    <t>370/П`13</t>
  </si>
  <si>
    <t>Минеральные вещ-ва(мг)</t>
  </si>
  <si>
    <t>90/П`13</t>
  </si>
  <si>
    <t>45</t>
  </si>
  <si>
    <t>Плоды свежие (мандарин)</t>
  </si>
  <si>
    <t>355/ДЛ`17</t>
  </si>
  <si>
    <t>Кисель из кураги</t>
  </si>
  <si>
    <t>Соки овощные, фруктовые, ягодные (яблочный)</t>
  </si>
  <si>
    <t>180</t>
  </si>
  <si>
    <t xml:space="preserve">День: </t>
  </si>
  <si>
    <t>Неделя:</t>
  </si>
  <si>
    <t>первая</t>
  </si>
  <si>
    <t>Сезон:</t>
  </si>
  <si>
    <t>осенне-зимний</t>
  </si>
  <si>
    <t>Возрастная категория:</t>
  </si>
  <si>
    <t xml:space="preserve">7-11 ЛЕТ </t>
  </si>
  <si>
    <t>12 лет и старше</t>
  </si>
  <si>
    <t>четверг</t>
  </si>
  <si>
    <t>Четверг/ первая неделя/7-11 ЛЕТ</t>
  </si>
  <si>
    <t>Четверг/ первая неделя/12 лет и старше</t>
  </si>
  <si>
    <t>Салат из горошка зеленого консервированного</t>
  </si>
  <si>
    <t>Кофейный напиток на сгущеном молоке</t>
  </si>
  <si>
    <r>
      <t xml:space="preserve">Компот из крыжовника или  </t>
    </r>
    <r>
      <rPr>
        <b/>
        <sz val="12"/>
        <color indexed="8"/>
        <rFont val="Book Antiqua"/>
        <family val="1"/>
        <charset val="204"/>
      </rPr>
      <t>смородины черной</t>
    </r>
    <r>
      <rPr>
        <sz val="12"/>
        <color indexed="8"/>
        <rFont val="Book Antiqua"/>
        <family val="1"/>
        <charset val="204"/>
      </rPr>
      <t xml:space="preserve"> </t>
    </r>
  </si>
  <si>
    <t>10/ДЛ`17</t>
  </si>
  <si>
    <t>Бутерброды с сыром (1-й вариант)</t>
  </si>
  <si>
    <t>9/П`18</t>
  </si>
  <si>
    <t>Манник , соус шоколадный</t>
  </si>
  <si>
    <t>550/443/П`18</t>
  </si>
  <si>
    <t>497/П`18</t>
  </si>
  <si>
    <r>
      <rPr>
        <b/>
        <sz val="12"/>
        <color indexed="8"/>
        <rFont val="Book Antiqua"/>
        <family val="1"/>
        <charset val="204"/>
      </rPr>
      <t>Ряженка</t>
    </r>
    <r>
      <rPr>
        <sz val="12"/>
        <color indexed="8"/>
        <rFont val="Book Antiqua"/>
        <family val="1"/>
        <charset val="204"/>
      </rPr>
      <t xml:space="preserve"> 2,5%</t>
    </r>
  </si>
  <si>
    <t>Рыба отварная, соус польский</t>
  </si>
  <si>
    <t>295/П`18</t>
  </si>
  <si>
    <t>250</t>
  </si>
  <si>
    <t>220/П`18</t>
  </si>
  <si>
    <t>Каша ячневая вязкая</t>
  </si>
  <si>
    <t>Борщ с капустой и картофелем                                   (бульон мясокостный), со сметаной</t>
  </si>
  <si>
    <t>128/124/479/П`13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</si>
</sst>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0.0"/>
  </numFmts>
  <fonts count="23" x14ac:knownFonts="1">
    <font>
      <sz val="11"/>
      <name val="Calibri"/>
      <charset val="1"/>
    </font>
    <font>
      <sz val="11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Book Antiqua"/>
      <family val="1"/>
      <charset val="204"/>
    </font>
    <font>
      <sz val="11"/>
      <name val="Book Antiqua"/>
      <family val="1"/>
      <charset val="204"/>
    </font>
    <font>
      <sz val="12"/>
      <color indexed="8"/>
      <name val="Book Antiqua"/>
      <family val="1"/>
      <charset val="204"/>
    </font>
    <font>
      <b/>
      <sz val="12"/>
      <color indexed="8"/>
      <name val="Book Antiqua"/>
      <family val="1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sz val="11"/>
      <color rgb="FF9C6500"/>
      <name val="Calibri"/>
      <family val="2"/>
      <charset val="204"/>
    </font>
    <font>
      <sz val="11"/>
      <color rgb="FF9C0006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A7D00"/>
      <name val="Calibri"/>
      <family val="2"/>
      <charset val="204"/>
    </font>
    <font>
      <sz val="11"/>
      <color rgb="FF006100"/>
      <name val="Calibri"/>
      <family val="2"/>
      <charset val="204"/>
    </font>
    <font>
      <sz val="12"/>
      <color theme="1"/>
      <name val="Book Antiqua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10" fillId="2" borderId="9" applyNumberFormat="0" applyAlignment="0" applyProtection="0"/>
    <xf numFmtId="0" fontId="11" fillId="10" borderId="10" applyNumberFormat="0" applyAlignment="0" applyProtection="0"/>
    <xf numFmtId="0" fontId="12" fillId="10" borderId="9" applyNumberFormat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4" fillId="11" borderId="15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3" borderId="16" applyNumberFormat="0" applyFont="0" applyAlignment="0" applyProtection="0"/>
    <xf numFmtId="0" fontId="20" fillId="0" borderId="17" applyNumberFormat="0" applyFill="0" applyAlignment="0" applyProtection="0"/>
    <xf numFmtId="0" fontId="5" fillId="0" borderId="0" applyNumberFormat="0" applyFill="0" applyBorder="0" applyAlignment="0" applyProtection="0"/>
    <xf numFmtId="0" fontId="21" fillId="14" borderId="0" applyNumberFormat="0" applyBorder="0" applyAlignment="0" applyProtection="0"/>
  </cellStyleXfs>
  <cellXfs count="59">
    <xf numFmtId="0" fontId="0" fillId="0" borderId="0" xfId="0" applyNumberFormat="1" applyFont="1" applyFill="1"/>
    <xf numFmtId="0" fontId="8" fillId="0" borderId="0" xfId="0" applyNumberFormat="1" applyFont="1" applyFill="1"/>
    <xf numFmtId="180" fontId="8" fillId="0" borderId="0" xfId="0" applyNumberFormat="1" applyFont="1" applyFill="1"/>
    <xf numFmtId="1" fontId="8" fillId="0" borderId="0" xfId="0" applyNumberFormat="1" applyFont="1" applyFill="1"/>
    <xf numFmtId="0" fontId="8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180" fontId="8" fillId="0" borderId="2" xfId="0" applyNumberFormat="1" applyFont="1" applyFill="1" applyBorder="1"/>
    <xf numFmtId="0" fontId="8" fillId="0" borderId="2" xfId="0" applyNumberFormat="1" applyFont="1" applyFill="1" applyBorder="1"/>
    <xf numFmtId="1" fontId="8" fillId="0" borderId="2" xfId="0" applyNumberFormat="1" applyFont="1" applyFill="1" applyBorder="1"/>
    <xf numFmtId="0" fontId="8" fillId="0" borderId="3" xfId="0" applyNumberFormat="1" applyFont="1" applyFill="1" applyBorder="1" applyAlignment="1">
      <alignment horizontal="center"/>
    </xf>
    <xf numFmtId="49" fontId="8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49" fontId="8" fillId="0" borderId="2" xfId="0" applyNumberFormat="1" applyFont="1" applyFill="1" applyBorder="1" applyAlignment="1">
      <alignment horizontal="right"/>
    </xf>
    <xf numFmtId="1" fontId="8" fillId="0" borderId="2" xfId="0" applyNumberFormat="1" applyFont="1" applyFill="1" applyBorder="1" applyAlignment="1">
      <alignment wrapText="1"/>
    </xf>
    <xf numFmtId="180" fontId="8" fillId="0" borderId="2" xfId="0" applyNumberFormat="1" applyFont="1" applyFill="1" applyBorder="1" applyAlignment="1">
      <alignment wrapText="1"/>
    </xf>
    <xf numFmtId="0" fontId="8" fillId="0" borderId="3" xfId="0" applyNumberFormat="1" applyFont="1" applyFill="1" applyBorder="1" applyAlignment="1"/>
    <xf numFmtId="180" fontId="9" fillId="0" borderId="2" xfId="0" applyNumberFormat="1" applyFont="1" applyFill="1" applyBorder="1"/>
    <xf numFmtId="2" fontId="9" fillId="0" borderId="2" xfId="0" applyNumberFormat="1" applyFont="1" applyFill="1" applyBorder="1"/>
    <xf numFmtId="1" fontId="9" fillId="0" borderId="2" xfId="0" applyNumberFormat="1" applyFont="1" applyFill="1" applyBorder="1"/>
    <xf numFmtId="0" fontId="9" fillId="0" borderId="2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 vertical="center" textRotation="180"/>
    </xf>
    <xf numFmtId="2" fontId="9" fillId="0" borderId="0" xfId="0" applyNumberFormat="1" applyFont="1" applyFill="1" applyBorder="1"/>
    <xf numFmtId="0" fontId="9" fillId="0" borderId="1" xfId="0" applyNumberFormat="1" applyFont="1" applyFill="1" applyBorder="1" applyAlignment="1">
      <alignment horizontal="center"/>
    </xf>
    <xf numFmtId="2" fontId="9" fillId="0" borderId="1" xfId="0" applyNumberFormat="1" applyFont="1" applyFill="1" applyBorder="1"/>
    <xf numFmtId="0" fontId="8" fillId="0" borderId="2" xfId="0" applyNumberFormat="1" applyFont="1" applyFill="1" applyBorder="1" applyAlignment="1">
      <alignment wrapText="1"/>
    </xf>
    <xf numFmtId="2" fontId="22" fillId="0" borderId="2" xfId="0" applyNumberFormat="1" applyFont="1" applyFill="1" applyBorder="1"/>
    <xf numFmtId="180" fontId="22" fillId="0" borderId="2" xfId="0" applyNumberFormat="1" applyFont="1" applyFill="1" applyBorder="1"/>
    <xf numFmtId="49" fontId="9" fillId="0" borderId="4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center" wrapText="1"/>
    </xf>
    <xf numFmtId="0" fontId="8" fillId="0" borderId="5" xfId="0" applyNumberFormat="1" applyFont="1" applyFill="1" applyBorder="1" applyAlignment="1">
      <alignment horizontal="center" wrapText="1"/>
    </xf>
    <xf numFmtId="0" fontId="8" fillId="0" borderId="4" xfId="0" applyNumberFormat="1" applyFont="1" applyFill="1" applyBorder="1" applyAlignment="1">
      <alignment horizontal="center" wrapText="1"/>
    </xf>
    <xf numFmtId="0" fontId="8" fillId="0" borderId="3" xfId="0" applyNumberFormat="1" applyFont="1" applyFill="1" applyBorder="1" applyAlignment="1">
      <alignment horizontal="center"/>
    </xf>
    <xf numFmtId="0" fontId="8" fillId="0" borderId="5" xfId="0" applyNumberFormat="1" applyFont="1" applyFill="1" applyBorder="1" applyAlignment="1">
      <alignment horizontal="center"/>
    </xf>
    <xf numFmtId="0" fontId="8" fillId="0" borderId="4" xfId="0" applyNumberFormat="1" applyFont="1" applyFill="1" applyBorder="1" applyAlignment="1">
      <alignment horizontal="center"/>
    </xf>
    <xf numFmtId="0" fontId="9" fillId="0" borderId="5" xfId="0" applyNumberFormat="1" applyFont="1" applyFill="1" applyBorder="1" applyAlignment="1">
      <alignment horizontal="center"/>
    </xf>
    <xf numFmtId="0" fontId="8" fillId="0" borderId="2" xfId="0" applyNumberFormat="1" applyFont="1" applyFill="1" applyBorder="1" applyAlignment="1">
      <alignment horizontal="center"/>
    </xf>
    <xf numFmtId="0" fontId="9" fillId="0" borderId="3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/>
    </xf>
    <xf numFmtId="0" fontId="7" fillId="0" borderId="4" xfId="0" applyNumberFormat="1" applyFont="1" applyFill="1" applyBorder="1" applyAlignment="1">
      <alignment horizontal="center"/>
    </xf>
    <xf numFmtId="0" fontId="7" fillId="0" borderId="5" xfId="0" applyNumberFormat="1" applyFont="1" applyFill="1" applyBorder="1" applyAlignment="1">
      <alignment horizontal="center" wrapText="1"/>
    </xf>
    <xf numFmtId="0" fontId="7" fillId="0" borderId="4" xfId="0" applyNumberFormat="1" applyFont="1" applyFill="1" applyBorder="1" applyAlignment="1">
      <alignment horizontal="center" wrapText="1"/>
    </xf>
    <xf numFmtId="0" fontId="6" fillId="0" borderId="3" xfId="0" applyNumberFormat="1" applyFont="1" applyFill="1" applyBorder="1" applyAlignment="1">
      <alignment horizontal="center"/>
    </xf>
    <xf numFmtId="0" fontId="6" fillId="0" borderId="5" xfId="0" applyNumberFormat="1" applyFont="1" applyFill="1" applyBorder="1" applyAlignment="1">
      <alignment horizontal="center"/>
    </xf>
    <xf numFmtId="0" fontId="6" fillId="0" borderId="4" xfId="0" applyNumberFormat="1" applyFont="1" applyFill="1" applyBorder="1" applyAlignment="1">
      <alignment horizontal="center"/>
    </xf>
    <xf numFmtId="180" fontId="8" fillId="0" borderId="2" xfId="0" applyNumberFormat="1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distributed" wrapText="1"/>
    </xf>
    <xf numFmtId="0" fontId="8" fillId="0" borderId="7" xfId="0" applyNumberFormat="1" applyFont="1" applyFill="1" applyBorder="1" applyAlignment="1">
      <alignment horizontal="center" vertical="distributed" wrapText="1"/>
    </xf>
    <xf numFmtId="0" fontId="9" fillId="0" borderId="6" xfId="0" applyNumberFormat="1" applyFont="1" applyFill="1" applyBorder="1" applyAlignment="1">
      <alignment horizontal="center" vertical="center" textRotation="180"/>
    </xf>
    <xf numFmtId="0" fontId="9" fillId="0" borderId="8" xfId="0" applyNumberFormat="1" applyFont="1" applyFill="1" applyBorder="1" applyAlignment="1">
      <alignment horizontal="center" vertical="center" textRotation="180"/>
    </xf>
    <xf numFmtId="0" fontId="9" fillId="0" borderId="7" xfId="0" applyNumberFormat="1" applyFont="1" applyFill="1" applyBorder="1" applyAlignment="1">
      <alignment horizontal="center" vertical="center" textRotation="18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T78"/>
  <sheetViews>
    <sheetView tabSelected="1" view="pageBreakPreview" topLeftCell="B49" zoomScaleNormal="100" zoomScaleSheetLayoutView="100" workbookViewId="0">
      <selection activeCell="A67" sqref="A67:S67"/>
    </sheetView>
  </sheetViews>
  <sheetFormatPr defaultColWidth="9.1796875" defaultRowHeight="18" customHeight="1" x14ac:dyDescent="0.35"/>
  <cols>
    <col min="1" max="1" width="12.1796875" style="1" customWidth="1"/>
    <col min="2" max="5" width="9.1796875" style="1"/>
    <col min="6" max="6" width="15.81640625" style="1" customWidth="1"/>
    <col min="7" max="7" width="9.1796875" style="1"/>
    <col min="8" max="8" width="7.453125" style="2" customWidth="1"/>
    <col min="9" max="9" width="8.26953125" style="2" customWidth="1"/>
    <col min="10" max="10" width="9.26953125" style="2" customWidth="1"/>
    <col min="11" max="11" width="9.7265625" style="2" customWidth="1"/>
    <col min="12" max="12" width="6.26953125" style="1" customWidth="1"/>
    <col min="13" max="13" width="7.54296875" style="2" customWidth="1"/>
    <col min="14" max="14" width="7.54296875" style="1" customWidth="1"/>
    <col min="15" max="15" width="7.81640625" style="2" customWidth="1"/>
    <col min="16" max="16" width="7.26953125" style="3" customWidth="1"/>
    <col min="17" max="17" width="7.7265625" style="3" customWidth="1"/>
    <col min="18" max="18" width="7.1796875" style="3" customWidth="1"/>
    <col min="19" max="19" width="7.54296875" style="2" customWidth="1"/>
    <col min="20" max="20" width="5.453125" style="1" customWidth="1"/>
    <col min="21" max="16384" width="9.1796875" style="1"/>
  </cols>
  <sheetData>
    <row r="1" spans="1:20" ht="18" customHeight="1" x14ac:dyDescent="0.35">
      <c r="A1" s="1" t="s">
        <v>57</v>
      </c>
      <c r="B1" s="1" t="s">
        <v>65</v>
      </c>
    </row>
    <row r="2" spans="1:20" ht="18" customHeight="1" x14ac:dyDescent="0.35">
      <c r="A2" s="1" t="s">
        <v>58</v>
      </c>
      <c r="B2" s="1" t="s">
        <v>59</v>
      </c>
    </row>
    <row r="3" spans="1:20" ht="18" customHeight="1" x14ac:dyDescent="0.35">
      <c r="A3" s="1" t="s">
        <v>60</v>
      </c>
      <c r="B3" s="1" t="s">
        <v>61</v>
      </c>
    </row>
    <row r="4" spans="1:20" ht="18" customHeight="1" x14ac:dyDescent="0.35">
      <c r="A4" s="34" t="s">
        <v>62</v>
      </c>
      <c r="B4" s="35"/>
      <c r="C4" s="35"/>
      <c r="D4" s="4"/>
      <c r="E4" s="4" t="s">
        <v>63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1:20" ht="18" customHeight="1" x14ac:dyDescent="0.35">
      <c r="A5" s="43" t="s">
        <v>23</v>
      </c>
      <c r="B5" s="43" t="s">
        <v>20</v>
      </c>
      <c r="C5" s="43"/>
      <c r="D5" s="43"/>
      <c r="E5" s="43"/>
      <c r="F5" s="43"/>
      <c r="G5" s="54" t="s">
        <v>10</v>
      </c>
      <c r="H5" s="53" t="s">
        <v>17</v>
      </c>
      <c r="I5" s="53"/>
      <c r="J5" s="53"/>
      <c r="K5" s="53" t="s">
        <v>24</v>
      </c>
      <c r="L5" s="43" t="s">
        <v>11</v>
      </c>
      <c r="M5" s="43"/>
      <c r="N5" s="43"/>
      <c r="O5" s="43"/>
      <c r="P5" s="43" t="s">
        <v>49</v>
      </c>
      <c r="Q5" s="43"/>
      <c r="R5" s="43"/>
      <c r="S5" s="43"/>
      <c r="T5" s="56" t="s">
        <v>66</v>
      </c>
    </row>
    <row r="6" spans="1:20" ht="18" customHeight="1" x14ac:dyDescent="0.35">
      <c r="A6" s="43"/>
      <c r="B6" s="43"/>
      <c r="C6" s="43"/>
      <c r="D6" s="43"/>
      <c r="E6" s="43"/>
      <c r="F6" s="43"/>
      <c r="G6" s="55"/>
      <c r="H6" s="6" t="s">
        <v>42</v>
      </c>
      <c r="I6" s="6" t="s">
        <v>36</v>
      </c>
      <c r="J6" s="6" t="s">
        <v>34</v>
      </c>
      <c r="K6" s="53"/>
      <c r="L6" s="7" t="s">
        <v>43</v>
      </c>
      <c r="M6" s="6" t="s">
        <v>35</v>
      </c>
      <c r="N6" s="7" t="s">
        <v>33</v>
      </c>
      <c r="O6" s="6" t="s">
        <v>40</v>
      </c>
      <c r="P6" s="8" t="s">
        <v>39</v>
      </c>
      <c r="Q6" s="8" t="s">
        <v>41</v>
      </c>
      <c r="R6" s="8" t="s">
        <v>38</v>
      </c>
      <c r="S6" s="6" t="s">
        <v>37</v>
      </c>
      <c r="T6" s="57"/>
    </row>
    <row r="7" spans="1:20" ht="18" customHeight="1" x14ac:dyDescent="0.35">
      <c r="A7" s="7">
        <v>1</v>
      </c>
      <c r="B7" s="39">
        <v>2</v>
      </c>
      <c r="C7" s="40"/>
      <c r="D7" s="40"/>
      <c r="E7" s="40"/>
      <c r="F7" s="41"/>
      <c r="G7" s="5">
        <v>3</v>
      </c>
      <c r="H7" s="10">
        <v>4</v>
      </c>
      <c r="I7" s="10">
        <v>5</v>
      </c>
      <c r="J7" s="5">
        <v>6</v>
      </c>
      <c r="K7" s="5">
        <v>7</v>
      </c>
      <c r="L7" s="5">
        <v>8</v>
      </c>
      <c r="M7" s="5">
        <v>9</v>
      </c>
      <c r="N7" s="5">
        <v>10</v>
      </c>
      <c r="O7" s="5">
        <v>11</v>
      </c>
      <c r="P7" s="5">
        <v>12</v>
      </c>
      <c r="Q7" s="5">
        <v>13</v>
      </c>
      <c r="R7" s="5">
        <v>14</v>
      </c>
      <c r="S7" s="5">
        <v>15</v>
      </c>
      <c r="T7" s="57"/>
    </row>
    <row r="8" spans="1:20" ht="18" customHeight="1" x14ac:dyDescent="0.35">
      <c r="A8" s="44" t="s">
        <v>21</v>
      </c>
      <c r="B8" s="42"/>
      <c r="C8" s="42"/>
      <c r="D8" s="42"/>
      <c r="E8" s="42"/>
      <c r="F8" s="45"/>
      <c r="G8" s="7"/>
      <c r="H8" s="6"/>
      <c r="I8" s="6"/>
      <c r="J8" s="6"/>
      <c r="K8" s="6"/>
      <c r="L8" s="7"/>
      <c r="M8" s="6"/>
      <c r="N8" s="7"/>
      <c r="O8" s="6"/>
      <c r="P8" s="8"/>
      <c r="Q8" s="8"/>
      <c r="R8" s="8"/>
      <c r="S8" s="6"/>
      <c r="T8" s="57"/>
    </row>
    <row r="9" spans="1:20" ht="18" customHeight="1" x14ac:dyDescent="0.35">
      <c r="A9" s="7" t="s">
        <v>81</v>
      </c>
      <c r="B9" s="36" t="s">
        <v>82</v>
      </c>
      <c r="C9" s="37"/>
      <c r="D9" s="37"/>
      <c r="E9" s="37"/>
      <c r="F9" s="38"/>
      <c r="G9" s="15" t="s">
        <v>44</v>
      </c>
      <c r="H9" s="6">
        <f>36*0.2</f>
        <v>7.2</v>
      </c>
      <c r="I9" s="6">
        <f>33*0.2</f>
        <v>6.6000000000000005</v>
      </c>
      <c r="J9" s="6">
        <f>164*0.2</f>
        <v>32.800000000000004</v>
      </c>
      <c r="K9" s="6">
        <f>1097*0.2</f>
        <v>219.4</v>
      </c>
      <c r="L9" s="14">
        <f>0.59*0.2</f>
        <v>0.11799999999999999</v>
      </c>
      <c r="M9" s="6">
        <f>6.3*0.2</f>
        <v>1.26</v>
      </c>
      <c r="N9" s="14">
        <f>193*0.2</f>
        <v>38.6</v>
      </c>
      <c r="O9" s="6">
        <f>3.5*0.2</f>
        <v>0.70000000000000007</v>
      </c>
      <c r="P9" s="8">
        <f>770*0.2</f>
        <v>154</v>
      </c>
      <c r="Q9" s="8">
        <f>1191*0.2</f>
        <v>238.20000000000002</v>
      </c>
      <c r="R9" s="6">
        <f>177*0.2</f>
        <v>35.4</v>
      </c>
      <c r="S9" s="6">
        <f>4.52*0.2</f>
        <v>0.90399999999999991</v>
      </c>
      <c r="T9" s="57"/>
    </row>
    <row r="10" spans="1:20" ht="18.75" customHeight="1" x14ac:dyDescent="0.35">
      <c r="A10" s="7" t="s">
        <v>50</v>
      </c>
      <c r="B10" s="36" t="s">
        <v>72</v>
      </c>
      <c r="C10" s="37"/>
      <c r="D10" s="37"/>
      <c r="E10" s="37"/>
      <c r="F10" s="38"/>
      <c r="G10" s="15" t="s">
        <v>51</v>
      </c>
      <c r="H10" s="6">
        <v>6.7</v>
      </c>
      <c r="I10" s="6">
        <v>9.5</v>
      </c>
      <c r="J10" s="6">
        <v>9.9</v>
      </c>
      <c r="K10" s="6">
        <v>153</v>
      </c>
      <c r="L10" s="14">
        <v>0.03</v>
      </c>
      <c r="M10" s="6">
        <v>0.1</v>
      </c>
      <c r="N10" s="14">
        <v>0.08</v>
      </c>
      <c r="O10" s="6">
        <v>0.4</v>
      </c>
      <c r="P10" s="16">
        <v>185</v>
      </c>
      <c r="Q10" s="16">
        <v>132</v>
      </c>
      <c r="R10" s="17">
        <v>13</v>
      </c>
      <c r="S10" s="6">
        <v>0.4</v>
      </c>
      <c r="T10" s="57"/>
    </row>
    <row r="11" spans="1:20" ht="18" customHeight="1" x14ac:dyDescent="0.35">
      <c r="A11" s="7" t="s">
        <v>0</v>
      </c>
      <c r="B11" s="39" t="s">
        <v>6</v>
      </c>
      <c r="C11" s="40"/>
      <c r="D11" s="40"/>
      <c r="E11" s="40"/>
      <c r="F11" s="41"/>
      <c r="G11" s="15" t="s">
        <v>45</v>
      </c>
      <c r="H11" s="6">
        <f>7.5*0.2</f>
        <v>1.5</v>
      </c>
      <c r="I11" s="6">
        <f>2.9*0.2</f>
        <v>0.57999999999999996</v>
      </c>
      <c r="J11" s="6">
        <f>51.4*0.2</f>
        <v>10.280000000000001</v>
      </c>
      <c r="K11" s="6">
        <f>262*0.2</f>
        <v>52.400000000000006</v>
      </c>
      <c r="L11" s="14">
        <f>0.11*0.2</f>
        <v>2.2000000000000002E-2</v>
      </c>
      <c r="M11" s="6">
        <v>0</v>
      </c>
      <c r="N11" s="14">
        <v>0</v>
      </c>
      <c r="O11" s="6">
        <f>1.7*0.2</f>
        <v>0.34</v>
      </c>
      <c r="P11" s="8">
        <f>19*0.2</f>
        <v>3.8000000000000003</v>
      </c>
      <c r="Q11" s="8">
        <f>65*0.2</f>
        <v>13</v>
      </c>
      <c r="R11" s="6">
        <f>13*0.2</f>
        <v>2.6</v>
      </c>
      <c r="S11" s="6">
        <f>1.2*0.2</f>
        <v>0.24</v>
      </c>
      <c r="T11" s="57"/>
    </row>
    <row r="12" spans="1:20" ht="18.75" customHeight="1" x14ac:dyDescent="0.35">
      <c r="A12" s="7" t="s">
        <v>4</v>
      </c>
      <c r="B12" s="39" t="s">
        <v>52</v>
      </c>
      <c r="C12" s="40"/>
      <c r="D12" s="40"/>
      <c r="E12" s="40"/>
      <c r="F12" s="41"/>
      <c r="G12" s="7">
        <v>200</v>
      </c>
      <c r="H12" s="6">
        <f>0.8*2</f>
        <v>1.6</v>
      </c>
      <c r="I12" s="6">
        <f>0.2*2</f>
        <v>0.4</v>
      </c>
      <c r="J12" s="6">
        <f>7.5*2</f>
        <v>15</v>
      </c>
      <c r="K12" s="6">
        <f>38*2</f>
        <v>76</v>
      </c>
      <c r="L12" s="14">
        <f>0.06*2</f>
        <v>0.12</v>
      </c>
      <c r="M12" s="6">
        <f>38*2</f>
        <v>76</v>
      </c>
      <c r="N12" s="14">
        <v>0</v>
      </c>
      <c r="O12" s="6">
        <f>0.2*2</f>
        <v>0.4</v>
      </c>
      <c r="P12" s="8">
        <f>35*2</f>
        <v>70</v>
      </c>
      <c r="Q12" s="8">
        <f>17*2</f>
        <v>34</v>
      </c>
      <c r="R12" s="6">
        <v>11</v>
      </c>
      <c r="S12" s="6">
        <v>0.1</v>
      </c>
      <c r="T12" s="57"/>
    </row>
    <row r="13" spans="1:20" ht="19.5" customHeight="1" x14ac:dyDescent="0.35">
      <c r="A13" s="7" t="s">
        <v>15</v>
      </c>
      <c r="B13" s="39" t="s">
        <v>69</v>
      </c>
      <c r="C13" s="40"/>
      <c r="D13" s="40"/>
      <c r="E13" s="40"/>
      <c r="F13" s="41"/>
      <c r="G13" s="13">
        <v>200</v>
      </c>
      <c r="H13" s="6">
        <v>2.9</v>
      </c>
      <c r="I13" s="6">
        <v>2</v>
      </c>
      <c r="J13" s="6">
        <v>20.9</v>
      </c>
      <c r="K13" s="6">
        <v>113</v>
      </c>
      <c r="L13" s="14">
        <v>0.02</v>
      </c>
      <c r="M13" s="6">
        <v>0.4</v>
      </c>
      <c r="N13" s="14">
        <v>0.01</v>
      </c>
      <c r="O13" s="6">
        <v>0</v>
      </c>
      <c r="P13" s="8">
        <v>129</v>
      </c>
      <c r="Q13" s="8">
        <v>87</v>
      </c>
      <c r="R13" s="6">
        <v>13</v>
      </c>
      <c r="S13" s="6">
        <v>0.8</v>
      </c>
      <c r="T13" s="57"/>
    </row>
    <row r="14" spans="1:20" ht="18" customHeight="1" x14ac:dyDescent="0.35">
      <c r="A14" s="18"/>
      <c r="B14" s="42" t="s">
        <v>8</v>
      </c>
      <c r="C14" s="42"/>
      <c r="D14" s="42"/>
      <c r="E14" s="42"/>
      <c r="F14" s="45"/>
      <c r="G14" s="33">
        <f>G13+G12+G11+G10+G9</f>
        <v>665</v>
      </c>
      <c r="H14" s="19">
        <f>SUM(H9:H13)</f>
        <v>19.899999999999999</v>
      </c>
      <c r="I14" s="19">
        <f t="shared" ref="I14:S14" si="0">SUM(I9:I13)</f>
        <v>19.079999999999998</v>
      </c>
      <c r="J14" s="19">
        <f t="shared" si="0"/>
        <v>88.88</v>
      </c>
      <c r="K14" s="19">
        <f t="shared" si="0"/>
        <v>613.79999999999995</v>
      </c>
      <c r="L14" s="20">
        <f t="shared" si="0"/>
        <v>0.31</v>
      </c>
      <c r="M14" s="19">
        <f t="shared" si="0"/>
        <v>77.760000000000005</v>
      </c>
      <c r="N14" s="20">
        <f t="shared" si="0"/>
        <v>38.69</v>
      </c>
      <c r="O14" s="19">
        <f t="shared" si="0"/>
        <v>1.8400000000000003</v>
      </c>
      <c r="P14" s="21">
        <f t="shared" si="0"/>
        <v>541.79999999999995</v>
      </c>
      <c r="Q14" s="21">
        <f t="shared" si="0"/>
        <v>504.20000000000005</v>
      </c>
      <c r="R14" s="19">
        <f t="shared" si="0"/>
        <v>75</v>
      </c>
      <c r="S14" s="19">
        <f t="shared" si="0"/>
        <v>2.444</v>
      </c>
      <c r="T14" s="57"/>
    </row>
    <row r="15" spans="1:20" ht="18" customHeight="1" x14ac:dyDescent="0.35">
      <c r="A15" s="44" t="s">
        <v>22</v>
      </c>
      <c r="B15" s="42"/>
      <c r="C15" s="42"/>
      <c r="D15" s="42"/>
      <c r="E15" s="42"/>
      <c r="F15" s="45"/>
      <c r="G15" s="13"/>
      <c r="H15" s="6"/>
      <c r="I15" s="6"/>
      <c r="J15" s="6"/>
      <c r="K15" s="6"/>
      <c r="L15" s="14"/>
      <c r="M15" s="6"/>
      <c r="N15" s="14"/>
      <c r="O15" s="6"/>
      <c r="P15" s="8"/>
      <c r="Q15" s="8"/>
      <c r="R15" s="6"/>
      <c r="S15" s="6"/>
      <c r="T15" s="57"/>
    </row>
    <row r="16" spans="1:20" ht="18" customHeight="1" x14ac:dyDescent="0.35">
      <c r="A16" s="7" t="s">
        <v>73</v>
      </c>
      <c r="B16" s="36" t="s">
        <v>16</v>
      </c>
      <c r="C16" s="37"/>
      <c r="D16" s="37"/>
      <c r="E16" s="37"/>
      <c r="F16" s="38"/>
      <c r="G16" s="13">
        <v>100</v>
      </c>
      <c r="H16" s="6">
        <f>1.6</f>
        <v>1.6</v>
      </c>
      <c r="I16" s="6">
        <f>6.1</f>
        <v>6.1</v>
      </c>
      <c r="J16" s="6">
        <f>8.3</f>
        <v>8.3000000000000007</v>
      </c>
      <c r="K16" s="6">
        <f>94</f>
        <v>94</v>
      </c>
      <c r="L16" s="14">
        <f>0.02</f>
        <v>0.02</v>
      </c>
      <c r="M16" s="6">
        <f>17.8</f>
        <v>17.8</v>
      </c>
      <c r="N16" s="14">
        <v>0</v>
      </c>
      <c r="O16" s="6">
        <f>4.5</f>
        <v>4.5</v>
      </c>
      <c r="P16" s="8">
        <f>42.3</f>
        <v>42.3</v>
      </c>
      <c r="Q16" s="8">
        <f>31.2</f>
        <v>31.2</v>
      </c>
      <c r="R16" s="6">
        <f>14.4</f>
        <v>14.4</v>
      </c>
      <c r="S16" s="6">
        <f>0.58</f>
        <v>0.57999999999999996</v>
      </c>
      <c r="T16" s="57"/>
    </row>
    <row r="17" spans="1:20" ht="33" customHeight="1" x14ac:dyDescent="0.35">
      <c r="A17" s="29" t="s">
        <v>84</v>
      </c>
      <c r="B17" s="36" t="s">
        <v>83</v>
      </c>
      <c r="C17" s="37"/>
      <c r="D17" s="37"/>
      <c r="E17" s="37"/>
      <c r="F17" s="38"/>
      <c r="G17" s="13">
        <v>250</v>
      </c>
      <c r="H17" s="6">
        <f>7.3*0.25+6*0.2+26*0.02</f>
        <v>3.5450000000000004</v>
      </c>
      <c r="I17" s="6">
        <f>20*0.25+2*0.2+150*0.02</f>
        <v>8.4</v>
      </c>
      <c r="J17" s="6">
        <f>42.6*0.25+36*0.02</f>
        <v>11.370000000000001</v>
      </c>
      <c r="K17" s="6">
        <f>380*0.25+42*0.2+1620*0.02</f>
        <v>135.80000000000001</v>
      </c>
      <c r="L17" s="14">
        <f>0.19*0.25+0.1*0.2+0.3*0.02</f>
        <v>7.350000000000001E-2</v>
      </c>
      <c r="M17" s="6">
        <f>41.2*0.25+4*0.02</f>
        <v>10.38</v>
      </c>
      <c r="N17" s="14">
        <f>0+1*0.02</f>
        <v>0.02</v>
      </c>
      <c r="O17" s="6">
        <f>9.6*0.25+3*0.02</f>
        <v>2.46</v>
      </c>
      <c r="P17" s="8">
        <f>138*0.25+50*0.2+880*0.02</f>
        <v>62.1</v>
      </c>
      <c r="Q17" s="8">
        <f>212*0.25+34*0.2+610*0.02</f>
        <v>72</v>
      </c>
      <c r="R17" s="6">
        <f>105*0.25+10*0.2+90*0.02</f>
        <v>30.05</v>
      </c>
      <c r="S17" s="6">
        <f>4.8*0.25+2*0.02</f>
        <v>1.24</v>
      </c>
      <c r="T17" s="57"/>
    </row>
    <row r="18" spans="1:20" ht="18" customHeight="1" x14ac:dyDescent="0.35">
      <c r="A18" s="7" t="s">
        <v>48</v>
      </c>
      <c r="B18" s="36" t="s">
        <v>28</v>
      </c>
      <c r="C18" s="37"/>
      <c r="D18" s="37"/>
      <c r="E18" s="37"/>
      <c r="F18" s="38"/>
      <c r="G18" s="15" t="s">
        <v>44</v>
      </c>
      <c r="H18" s="6">
        <f>18.9*200/250</f>
        <v>15.119999999999997</v>
      </c>
      <c r="I18" s="6">
        <f>18.6*200/250</f>
        <v>14.880000000000003</v>
      </c>
      <c r="J18" s="6">
        <f>49.2*200/250</f>
        <v>39.36</v>
      </c>
      <c r="K18" s="6">
        <f>440*200/250</f>
        <v>352</v>
      </c>
      <c r="L18" s="14">
        <f>0.07*200/250</f>
        <v>5.6000000000000008E-2</v>
      </c>
      <c r="M18" s="6">
        <f>0.4*200/250</f>
        <v>0.32</v>
      </c>
      <c r="N18" s="14">
        <f>0.06*200/250</f>
        <v>4.8000000000000001E-2</v>
      </c>
      <c r="O18" s="6">
        <f>0.8*200/250</f>
        <v>0.64</v>
      </c>
      <c r="P18" s="8">
        <f>23*200/250</f>
        <v>18.399999999999999</v>
      </c>
      <c r="Q18" s="8">
        <f>227*200/250</f>
        <v>181.6</v>
      </c>
      <c r="R18" s="6">
        <f>53*200/250</f>
        <v>42.4</v>
      </c>
      <c r="S18" s="6">
        <f>2.8*200/250</f>
        <v>2.2400000000000002</v>
      </c>
      <c r="T18" s="57"/>
    </row>
    <row r="19" spans="1:20" ht="18" customHeight="1" x14ac:dyDescent="0.35">
      <c r="A19" s="7" t="s">
        <v>5</v>
      </c>
      <c r="B19" s="39" t="s">
        <v>7</v>
      </c>
      <c r="C19" s="46"/>
      <c r="D19" s="46"/>
      <c r="E19" s="46"/>
      <c r="F19" s="47"/>
      <c r="G19" s="15" t="s">
        <v>47</v>
      </c>
      <c r="H19" s="6">
        <f>7.6*0.4</f>
        <v>3.04</v>
      </c>
      <c r="I19" s="6">
        <f>0.8*0.4</f>
        <v>0.32000000000000006</v>
      </c>
      <c r="J19" s="6">
        <f>49.2*0.4</f>
        <v>19.680000000000003</v>
      </c>
      <c r="K19" s="6">
        <f>235*0.4</f>
        <v>94</v>
      </c>
      <c r="L19" s="14">
        <f>0.11*0.4</f>
        <v>4.4000000000000004E-2</v>
      </c>
      <c r="M19" s="6">
        <v>0</v>
      </c>
      <c r="N19" s="14">
        <v>0</v>
      </c>
      <c r="O19" s="6">
        <f>1.1*0.4</f>
        <v>0.44000000000000006</v>
      </c>
      <c r="P19" s="8">
        <f>20*0.4</f>
        <v>8</v>
      </c>
      <c r="Q19" s="8">
        <f>65*0.4</f>
        <v>26</v>
      </c>
      <c r="R19" s="6">
        <f>14*0.4</f>
        <v>5.6000000000000005</v>
      </c>
      <c r="S19" s="6">
        <f>30.3*0.4</f>
        <v>12.120000000000001</v>
      </c>
      <c r="T19" s="57"/>
    </row>
    <row r="20" spans="1:20" ht="18" customHeight="1" x14ac:dyDescent="0.35">
      <c r="A20" s="7" t="s">
        <v>2</v>
      </c>
      <c r="B20" s="39" t="s">
        <v>3</v>
      </c>
      <c r="C20" s="40"/>
      <c r="D20" s="40"/>
      <c r="E20" s="40"/>
      <c r="F20" s="41"/>
      <c r="G20" s="7">
        <v>40</v>
      </c>
      <c r="H20" s="6">
        <f>6.6*0.4</f>
        <v>2.64</v>
      </c>
      <c r="I20" s="6">
        <f>1.2*0.4</f>
        <v>0.48</v>
      </c>
      <c r="J20" s="6">
        <f>33.4*0.4</f>
        <v>13.36</v>
      </c>
      <c r="K20" s="6">
        <f>174*0.4</f>
        <v>69.600000000000009</v>
      </c>
      <c r="L20" s="14">
        <f>0.18*0.4</f>
        <v>7.1999999999999995E-2</v>
      </c>
      <c r="M20" s="6">
        <v>0</v>
      </c>
      <c r="N20" s="14">
        <v>0</v>
      </c>
      <c r="O20" s="6">
        <f>1.4*0.4</f>
        <v>0.55999999999999994</v>
      </c>
      <c r="P20" s="8">
        <f>35*0.4</f>
        <v>14</v>
      </c>
      <c r="Q20" s="8">
        <f>158*0.4</f>
        <v>63.2</v>
      </c>
      <c r="R20" s="6">
        <f>47*0.4</f>
        <v>18.8</v>
      </c>
      <c r="S20" s="6">
        <f>3.9*0.4</f>
        <v>1.56</v>
      </c>
      <c r="T20" s="57"/>
    </row>
    <row r="21" spans="1:20" ht="19.5" customHeight="1" x14ac:dyDescent="0.35">
      <c r="A21" s="7" t="s">
        <v>53</v>
      </c>
      <c r="B21" s="39" t="s">
        <v>54</v>
      </c>
      <c r="C21" s="46"/>
      <c r="D21" s="46"/>
      <c r="E21" s="46"/>
      <c r="F21" s="47"/>
      <c r="G21" s="23">
        <v>200</v>
      </c>
      <c r="H21" s="6">
        <f>4.46*0.2</f>
        <v>0.89200000000000002</v>
      </c>
      <c r="I21" s="6">
        <f>0.3*0.2</f>
        <v>0.06</v>
      </c>
      <c r="J21" s="6">
        <f>163.76*0.2</f>
        <v>32.752000000000002</v>
      </c>
      <c r="K21" s="6">
        <f>773*0.2</f>
        <v>154.60000000000002</v>
      </c>
      <c r="L21" s="30">
        <f>0.1*0.2</f>
        <v>2.0000000000000004E-2</v>
      </c>
      <c r="M21" s="31">
        <f>2.44*0.2</f>
        <v>0.48799999999999999</v>
      </c>
      <c r="N21" s="30">
        <v>0</v>
      </c>
      <c r="O21" s="6">
        <v>0</v>
      </c>
      <c r="P21" s="8">
        <f>156.2*0.2</f>
        <v>31.24</v>
      </c>
      <c r="Q21" s="8">
        <f>126.5*0.2</f>
        <v>25.3</v>
      </c>
      <c r="R21" s="6">
        <f>91.9*0.2</f>
        <v>18.380000000000003</v>
      </c>
      <c r="S21" s="6">
        <f>2.75*0.2</f>
        <v>0.55000000000000004</v>
      </c>
      <c r="T21" s="57"/>
    </row>
    <row r="22" spans="1:20" ht="18" customHeight="1" x14ac:dyDescent="0.35">
      <c r="A22" s="11"/>
      <c r="B22" s="42" t="s">
        <v>9</v>
      </c>
      <c r="C22" s="42"/>
      <c r="D22" s="42"/>
      <c r="E22" s="42"/>
      <c r="F22" s="42"/>
      <c r="G22" s="33">
        <f>G21+G20+G19+G18+G17+G16</f>
        <v>830</v>
      </c>
      <c r="H22" s="19">
        <f t="shared" ref="H22:S22" si="1">SUM(H16:H21)</f>
        <v>26.836999999999996</v>
      </c>
      <c r="I22" s="19">
        <f t="shared" si="1"/>
        <v>30.240000000000002</v>
      </c>
      <c r="J22" s="19">
        <f t="shared" si="1"/>
        <v>124.822</v>
      </c>
      <c r="K22" s="19">
        <f t="shared" si="1"/>
        <v>900</v>
      </c>
      <c r="L22" s="20">
        <f t="shared" si="1"/>
        <v>0.28550000000000003</v>
      </c>
      <c r="M22" s="19">
        <f t="shared" si="1"/>
        <v>28.988</v>
      </c>
      <c r="N22" s="20">
        <f t="shared" si="1"/>
        <v>6.8000000000000005E-2</v>
      </c>
      <c r="O22" s="19">
        <f t="shared" si="1"/>
        <v>8.6</v>
      </c>
      <c r="P22" s="21">
        <f t="shared" si="1"/>
        <v>176.04000000000002</v>
      </c>
      <c r="Q22" s="21">
        <f t="shared" si="1"/>
        <v>399.3</v>
      </c>
      <c r="R22" s="19">
        <f t="shared" si="1"/>
        <v>129.63</v>
      </c>
      <c r="S22" s="19">
        <f t="shared" si="1"/>
        <v>18.29</v>
      </c>
      <c r="T22" s="57"/>
    </row>
    <row r="23" spans="1:20" ht="18" customHeight="1" x14ac:dyDescent="0.35">
      <c r="A23" s="44" t="s">
        <v>25</v>
      </c>
      <c r="B23" s="46"/>
      <c r="C23" s="46"/>
      <c r="D23" s="46"/>
      <c r="E23" s="46"/>
      <c r="F23" s="47"/>
      <c r="G23" s="12"/>
      <c r="H23" s="19"/>
      <c r="I23" s="19"/>
      <c r="J23" s="19"/>
      <c r="K23" s="19"/>
      <c r="L23" s="20"/>
      <c r="M23" s="19"/>
      <c r="N23" s="20"/>
      <c r="O23" s="19"/>
      <c r="P23" s="21"/>
      <c r="Q23" s="21"/>
      <c r="R23" s="19"/>
      <c r="S23" s="19"/>
      <c r="T23" s="57"/>
    </row>
    <row r="24" spans="1:20" ht="19.5" customHeight="1" x14ac:dyDescent="0.35">
      <c r="A24" s="7" t="s">
        <v>76</v>
      </c>
      <c r="B24" s="36" t="s">
        <v>19</v>
      </c>
      <c r="C24" s="37"/>
      <c r="D24" s="37"/>
      <c r="E24" s="37"/>
      <c r="F24" s="38"/>
      <c r="G24" s="7">
        <v>200</v>
      </c>
      <c r="H24" s="6">
        <f>0.1</f>
        <v>0.1</v>
      </c>
      <c r="I24" s="6">
        <f>0.04</f>
        <v>0.04</v>
      </c>
      <c r="J24" s="6">
        <f>9.9</f>
        <v>9.9</v>
      </c>
      <c r="K24" s="6">
        <f>41</f>
        <v>41</v>
      </c>
      <c r="L24" s="14">
        <v>0</v>
      </c>
      <c r="M24" s="6">
        <v>1.1000000000000001</v>
      </c>
      <c r="N24" s="14">
        <v>0</v>
      </c>
      <c r="O24" s="6">
        <v>0.2</v>
      </c>
      <c r="P24" s="8">
        <v>3</v>
      </c>
      <c r="Q24" s="8">
        <v>2</v>
      </c>
      <c r="R24" s="6">
        <v>2.9</v>
      </c>
      <c r="S24" s="6">
        <v>0.15</v>
      </c>
      <c r="T24" s="57"/>
    </row>
    <row r="25" spans="1:20" ht="35.25" customHeight="1" x14ac:dyDescent="0.35">
      <c r="A25" s="29" t="s">
        <v>75</v>
      </c>
      <c r="B25" s="36" t="s">
        <v>74</v>
      </c>
      <c r="C25" s="37"/>
      <c r="D25" s="37"/>
      <c r="E25" s="37"/>
      <c r="F25" s="38"/>
      <c r="G25" s="15" t="s">
        <v>56</v>
      </c>
      <c r="H25" s="6">
        <f>7.2+54.9*0.05</f>
        <v>9.9450000000000003</v>
      </c>
      <c r="I25" s="6">
        <f>6.7+53.4*0.05</f>
        <v>9.370000000000001</v>
      </c>
      <c r="J25" s="6">
        <f>40.4+422.4*0.05</f>
        <v>61.519999999999996</v>
      </c>
      <c r="K25" s="6">
        <f>251+2390*0.05</f>
        <v>370.5</v>
      </c>
      <c r="L25" s="14">
        <f>0.06+0.3*0.05</f>
        <v>7.4999999999999997E-2</v>
      </c>
      <c r="M25" s="6">
        <f>0.2+2.3*0.05</f>
        <v>0.315</v>
      </c>
      <c r="N25" s="14">
        <f>74.7+181.5*0.05</f>
        <v>83.775000000000006</v>
      </c>
      <c r="O25" s="6">
        <f>0.7+1.2*0.05</f>
        <v>0.76</v>
      </c>
      <c r="P25" s="8">
        <f>72.4+1387.1*0.05</f>
        <v>141.755</v>
      </c>
      <c r="Q25" s="8">
        <f>103+1456.1*0.05</f>
        <v>175.80500000000001</v>
      </c>
      <c r="R25" s="6">
        <f>14.4+543*0.05</f>
        <v>41.550000000000004</v>
      </c>
      <c r="S25" s="6">
        <f>0.93+22.74*0.05</f>
        <v>2.0670000000000002</v>
      </c>
      <c r="T25" s="57"/>
    </row>
    <row r="26" spans="1:20" ht="18" customHeight="1" x14ac:dyDescent="0.35">
      <c r="A26" s="11"/>
      <c r="B26" s="44"/>
      <c r="C26" s="42"/>
      <c r="D26" s="42"/>
      <c r="E26" s="42"/>
      <c r="F26" s="45"/>
      <c r="G26" s="32">
        <f>G25+G24</f>
        <v>380</v>
      </c>
      <c r="H26" s="19">
        <f t="shared" ref="H26:S26" si="2">SUM(H24:H25)</f>
        <v>10.045</v>
      </c>
      <c r="I26" s="19">
        <f t="shared" si="2"/>
        <v>9.41</v>
      </c>
      <c r="J26" s="19">
        <f t="shared" si="2"/>
        <v>71.42</v>
      </c>
      <c r="K26" s="19">
        <f t="shared" si="2"/>
        <v>411.5</v>
      </c>
      <c r="L26" s="20">
        <f t="shared" si="2"/>
        <v>7.4999999999999997E-2</v>
      </c>
      <c r="M26" s="19">
        <f t="shared" si="2"/>
        <v>1.415</v>
      </c>
      <c r="N26" s="20">
        <f t="shared" si="2"/>
        <v>83.775000000000006</v>
      </c>
      <c r="O26" s="19">
        <f t="shared" si="2"/>
        <v>0.96</v>
      </c>
      <c r="P26" s="21">
        <f t="shared" si="2"/>
        <v>144.755</v>
      </c>
      <c r="Q26" s="21">
        <f t="shared" si="2"/>
        <v>177.80500000000001</v>
      </c>
      <c r="R26" s="19">
        <f t="shared" si="2"/>
        <v>44.45</v>
      </c>
      <c r="S26" s="19">
        <f t="shared" si="2"/>
        <v>2.2170000000000001</v>
      </c>
      <c r="T26" s="57"/>
    </row>
    <row r="27" spans="1:20" ht="18" customHeight="1" x14ac:dyDescent="0.35">
      <c r="A27" s="11"/>
      <c r="B27" s="42" t="s">
        <v>32</v>
      </c>
      <c r="C27" s="42"/>
      <c r="D27" s="42"/>
      <c r="E27" s="42"/>
      <c r="F27" s="42"/>
      <c r="G27" s="22"/>
      <c r="H27" s="19"/>
      <c r="I27" s="19"/>
      <c r="J27" s="19"/>
      <c r="K27" s="19"/>
      <c r="L27" s="20"/>
      <c r="M27" s="19"/>
      <c r="N27" s="20"/>
      <c r="O27" s="19"/>
      <c r="P27" s="21"/>
      <c r="Q27" s="21"/>
      <c r="R27" s="19"/>
      <c r="S27" s="19"/>
      <c r="T27" s="57"/>
    </row>
    <row r="28" spans="1:20" ht="18" customHeight="1" x14ac:dyDescent="0.35">
      <c r="A28" s="44" t="s">
        <v>26</v>
      </c>
      <c r="B28" s="46"/>
      <c r="C28" s="46"/>
      <c r="D28" s="46"/>
      <c r="E28" s="46"/>
      <c r="F28" s="47"/>
      <c r="G28" s="12"/>
      <c r="H28" s="19"/>
      <c r="I28" s="19"/>
      <c r="J28" s="19"/>
      <c r="K28" s="19"/>
      <c r="L28" s="20"/>
      <c r="M28" s="19"/>
      <c r="N28" s="20"/>
      <c r="O28" s="19"/>
      <c r="P28" s="21"/>
      <c r="Q28" s="21"/>
      <c r="R28" s="19"/>
      <c r="S28" s="19"/>
      <c r="T28" s="57"/>
    </row>
    <row r="29" spans="1:20" ht="19.5" customHeight="1" x14ac:dyDescent="0.35">
      <c r="A29" s="7" t="s">
        <v>71</v>
      </c>
      <c r="B29" s="36" t="s">
        <v>68</v>
      </c>
      <c r="C29" s="37"/>
      <c r="D29" s="37"/>
      <c r="E29" s="37"/>
      <c r="F29" s="38"/>
      <c r="G29" s="23">
        <v>60</v>
      </c>
      <c r="H29" s="6">
        <f>29.82*0.06</f>
        <v>1.7891999999999999</v>
      </c>
      <c r="I29" s="6">
        <f>51.89*0.06</f>
        <v>3.1133999999999999</v>
      </c>
      <c r="J29" s="6">
        <f>62.51*0.06</f>
        <v>3.7505999999999999</v>
      </c>
      <c r="K29" s="6">
        <f>836*0.06</f>
        <v>50.16</v>
      </c>
      <c r="L29" s="14">
        <f>1.05*0.06</f>
        <v>6.3E-2</v>
      </c>
      <c r="M29" s="6">
        <f>110*0.06</f>
        <v>6.6</v>
      </c>
      <c r="N29" s="14">
        <v>0</v>
      </c>
      <c r="O29" s="6">
        <v>0</v>
      </c>
      <c r="P29" s="8">
        <f>214.5*0.06</f>
        <v>12.87</v>
      </c>
      <c r="Q29" s="8">
        <f>599.5*0.06</f>
        <v>35.97</v>
      </c>
      <c r="R29" s="6">
        <f>208*0.06</f>
        <v>12.48</v>
      </c>
      <c r="S29" s="6">
        <f>6.84*0.06</f>
        <v>0.41039999999999999</v>
      </c>
      <c r="T29" s="57"/>
    </row>
    <row r="30" spans="1:20" ht="18" customHeight="1" x14ac:dyDescent="0.35">
      <c r="A30" s="7" t="s">
        <v>79</v>
      </c>
      <c r="B30" s="50" t="s">
        <v>78</v>
      </c>
      <c r="C30" s="51"/>
      <c r="D30" s="51"/>
      <c r="E30" s="51"/>
      <c r="F30" s="52"/>
      <c r="G30" s="15" t="s">
        <v>46</v>
      </c>
      <c r="H30" s="6">
        <f>18*0.5+29.5*0.05</f>
        <v>10.475</v>
      </c>
      <c r="I30" s="6">
        <f>0.7*0.5+200.5*0.05</f>
        <v>10.375</v>
      </c>
      <c r="J30" s="6">
        <f>0.8*0.5+27.7*0.05</f>
        <v>1.7850000000000001</v>
      </c>
      <c r="K30" s="6">
        <f>82*0.5+2033*0.05</f>
        <v>142.65</v>
      </c>
      <c r="L30" s="14">
        <f>0.07*0.7+0.24*0.05</f>
        <v>6.0999999999999999E-2</v>
      </c>
      <c r="M30" s="6">
        <f>1.6*0.7+11.3*0.05</f>
        <v>1.6850000000000001</v>
      </c>
      <c r="N30" s="14">
        <f>8*0.7+1352.5*0.05</f>
        <v>73.224999999999994</v>
      </c>
      <c r="O30" s="6">
        <f>1.1*0.7+4.4*0.05</f>
        <v>0.99</v>
      </c>
      <c r="P30" s="8">
        <f>30*0.7+267.7*0.05</f>
        <v>34.384999999999998</v>
      </c>
      <c r="Q30" s="8">
        <f>195*0.7+456.8*0.05</f>
        <v>159.34</v>
      </c>
      <c r="R30" s="6">
        <f>23*0.7+57.5*0.05</f>
        <v>18.974999999999998</v>
      </c>
      <c r="S30" s="6">
        <f>0.56*0.7+5.56*0.05</f>
        <v>0.66999999999999993</v>
      </c>
      <c r="T30" s="57"/>
    </row>
    <row r="31" spans="1:20" ht="18" customHeight="1" x14ac:dyDescent="0.35">
      <c r="A31" s="7" t="s">
        <v>1</v>
      </c>
      <c r="B31" s="39" t="s">
        <v>18</v>
      </c>
      <c r="C31" s="40"/>
      <c r="D31" s="40"/>
      <c r="E31" s="40"/>
      <c r="F31" s="41"/>
      <c r="G31" s="23">
        <v>150</v>
      </c>
      <c r="H31" s="6">
        <f>2.1*1.5</f>
        <v>3.1500000000000004</v>
      </c>
      <c r="I31" s="6">
        <f>4.4*1.5</f>
        <v>6.6000000000000005</v>
      </c>
      <c r="J31" s="6">
        <f>10.9*1.5</f>
        <v>16.350000000000001</v>
      </c>
      <c r="K31" s="6">
        <f>92*1.5</f>
        <v>138</v>
      </c>
      <c r="L31" s="14">
        <f>0.09*1.5</f>
        <v>0.13500000000000001</v>
      </c>
      <c r="M31" s="6">
        <f>3.4*1.5</f>
        <v>5.0999999999999996</v>
      </c>
      <c r="N31" s="14">
        <f>0.03*1.5</f>
        <v>4.4999999999999998E-2</v>
      </c>
      <c r="O31" s="6">
        <f>0.1*1.5</f>
        <v>0.15000000000000002</v>
      </c>
      <c r="P31" s="8">
        <f>26*1.5</f>
        <v>39</v>
      </c>
      <c r="Q31" s="8">
        <f>57*1.5</f>
        <v>85.5</v>
      </c>
      <c r="R31" s="6">
        <f>19*1.5</f>
        <v>28.5</v>
      </c>
      <c r="S31" s="6">
        <f>0.7*1.5</f>
        <v>1.0499999999999998</v>
      </c>
      <c r="T31" s="57"/>
    </row>
    <row r="32" spans="1:20" ht="18" customHeight="1" x14ac:dyDescent="0.35">
      <c r="A32" s="7" t="s">
        <v>5</v>
      </c>
      <c r="B32" s="39" t="s">
        <v>7</v>
      </c>
      <c r="C32" s="46"/>
      <c r="D32" s="46"/>
      <c r="E32" s="46"/>
      <c r="F32" s="47"/>
      <c r="G32" s="15" t="s">
        <v>45</v>
      </c>
      <c r="H32" s="6">
        <f>7.6*0.2</f>
        <v>1.52</v>
      </c>
      <c r="I32" s="6">
        <f>0.8*0.2</f>
        <v>0.16000000000000003</v>
      </c>
      <c r="J32" s="6">
        <f>49.2*0.2</f>
        <v>9.8400000000000016</v>
      </c>
      <c r="K32" s="6">
        <f>235*0.2</f>
        <v>47</v>
      </c>
      <c r="L32" s="14">
        <f>0.11*0.2</f>
        <v>2.2000000000000002E-2</v>
      </c>
      <c r="M32" s="6">
        <v>0</v>
      </c>
      <c r="N32" s="14">
        <v>0</v>
      </c>
      <c r="O32" s="6">
        <f>1.1*0.2</f>
        <v>0.22000000000000003</v>
      </c>
      <c r="P32" s="8">
        <f>20*0.2</f>
        <v>4</v>
      </c>
      <c r="Q32" s="8">
        <f>65*0.2</f>
        <v>13</v>
      </c>
      <c r="R32" s="6">
        <f>14*0.2</f>
        <v>2.8000000000000003</v>
      </c>
      <c r="S32" s="6">
        <f>30.3*0.2</f>
        <v>6.0600000000000005</v>
      </c>
      <c r="T32" s="57"/>
    </row>
    <row r="33" spans="1:20" ht="18" customHeight="1" x14ac:dyDescent="0.35">
      <c r="A33" s="7" t="s">
        <v>2</v>
      </c>
      <c r="B33" s="39" t="s">
        <v>3</v>
      </c>
      <c r="C33" s="40"/>
      <c r="D33" s="40"/>
      <c r="E33" s="40"/>
      <c r="F33" s="41"/>
      <c r="G33" s="7">
        <v>40</v>
      </c>
      <c r="H33" s="6">
        <f>6.6*0.4</f>
        <v>2.64</v>
      </c>
      <c r="I33" s="6">
        <f>1.2*0.4</f>
        <v>0.48</v>
      </c>
      <c r="J33" s="6">
        <f>33.4*0.4</f>
        <v>13.36</v>
      </c>
      <c r="K33" s="6">
        <f>174*0.4</f>
        <v>69.600000000000009</v>
      </c>
      <c r="L33" s="14">
        <f>0.18*0.4</f>
        <v>7.1999999999999995E-2</v>
      </c>
      <c r="M33" s="6">
        <v>0</v>
      </c>
      <c r="N33" s="14">
        <v>0</v>
      </c>
      <c r="O33" s="6">
        <f>1.4*0.4</f>
        <v>0.55999999999999994</v>
      </c>
      <c r="P33" s="8">
        <f>35*0.4</f>
        <v>14</v>
      </c>
      <c r="Q33" s="8">
        <f>158*0.4</f>
        <v>63.2</v>
      </c>
      <c r="R33" s="6">
        <f>47*0.4</f>
        <v>18.8</v>
      </c>
      <c r="S33" s="6">
        <f>3.9*0.4</f>
        <v>1.56</v>
      </c>
      <c r="T33" s="57"/>
    </row>
    <row r="34" spans="1:20" ht="32.25" customHeight="1" x14ac:dyDescent="0.35">
      <c r="A34" s="7" t="s">
        <v>12</v>
      </c>
      <c r="B34" s="36" t="s">
        <v>55</v>
      </c>
      <c r="C34" s="37"/>
      <c r="D34" s="37"/>
      <c r="E34" s="37"/>
      <c r="F34" s="38"/>
      <c r="G34" s="7">
        <v>200</v>
      </c>
      <c r="H34" s="6">
        <f>5*0.2</f>
        <v>1</v>
      </c>
      <c r="I34" s="6">
        <v>0</v>
      </c>
      <c r="J34" s="6">
        <f>101*0.2</f>
        <v>20.200000000000003</v>
      </c>
      <c r="K34" s="6">
        <f>424*0.2</f>
        <v>84.800000000000011</v>
      </c>
      <c r="L34" s="14">
        <f>0.11*0.2</f>
        <v>2.2000000000000002E-2</v>
      </c>
      <c r="M34" s="6">
        <f>20*0.2</f>
        <v>4</v>
      </c>
      <c r="N34" s="14">
        <v>0</v>
      </c>
      <c r="O34" s="6">
        <v>0</v>
      </c>
      <c r="P34" s="8">
        <f>70*0.2</f>
        <v>14</v>
      </c>
      <c r="Q34" s="8">
        <f>70*0.2</f>
        <v>14</v>
      </c>
      <c r="R34" s="6">
        <f>40*0.2</f>
        <v>8</v>
      </c>
      <c r="S34" s="6">
        <f>14*0.2</f>
        <v>2.8000000000000003</v>
      </c>
      <c r="T34" s="57"/>
    </row>
    <row r="35" spans="1:20" ht="18" customHeight="1" x14ac:dyDescent="0.35">
      <c r="A35" s="11"/>
      <c r="B35" s="42" t="s">
        <v>29</v>
      </c>
      <c r="C35" s="42"/>
      <c r="D35" s="42"/>
      <c r="E35" s="42"/>
      <c r="F35" s="42"/>
      <c r="G35" s="33">
        <f>G34+G33+G32+G31+G30+G29</f>
        <v>570</v>
      </c>
      <c r="H35" s="19">
        <f t="shared" ref="H35:S35" si="3">SUM(H29:H34)</f>
        <v>20.574200000000001</v>
      </c>
      <c r="I35" s="19">
        <f t="shared" si="3"/>
        <v>20.728400000000001</v>
      </c>
      <c r="J35" s="19">
        <f t="shared" si="3"/>
        <v>65.285600000000017</v>
      </c>
      <c r="K35" s="19">
        <f t="shared" si="3"/>
        <v>532.21</v>
      </c>
      <c r="L35" s="20">
        <f t="shared" si="3"/>
        <v>0.37500000000000006</v>
      </c>
      <c r="M35" s="19">
        <f t="shared" si="3"/>
        <v>17.384999999999998</v>
      </c>
      <c r="N35" s="20">
        <f t="shared" si="3"/>
        <v>73.27</v>
      </c>
      <c r="O35" s="19">
        <f t="shared" si="3"/>
        <v>1.92</v>
      </c>
      <c r="P35" s="21">
        <f t="shared" si="3"/>
        <v>118.255</v>
      </c>
      <c r="Q35" s="21">
        <f t="shared" si="3"/>
        <v>371.01</v>
      </c>
      <c r="R35" s="19">
        <f t="shared" si="3"/>
        <v>89.554999999999993</v>
      </c>
      <c r="S35" s="19">
        <f t="shared" si="3"/>
        <v>12.550400000000002</v>
      </c>
      <c r="T35" s="57"/>
    </row>
    <row r="36" spans="1:20" ht="18" customHeight="1" x14ac:dyDescent="0.35">
      <c r="A36" s="44" t="s">
        <v>27</v>
      </c>
      <c r="B36" s="46"/>
      <c r="C36" s="46"/>
      <c r="D36" s="46"/>
      <c r="E36" s="46"/>
      <c r="F36" s="47"/>
      <c r="G36" s="12"/>
      <c r="H36" s="19"/>
      <c r="I36" s="19"/>
      <c r="J36" s="19"/>
      <c r="K36" s="19"/>
      <c r="L36" s="20"/>
      <c r="M36" s="19"/>
      <c r="N36" s="20"/>
      <c r="O36" s="19"/>
      <c r="P36" s="21"/>
      <c r="Q36" s="21"/>
      <c r="R36" s="19"/>
      <c r="S36" s="19"/>
      <c r="T36" s="57"/>
    </row>
    <row r="37" spans="1:20" ht="22.5" customHeight="1" x14ac:dyDescent="0.35">
      <c r="A37" s="7" t="s">
        <v>13</v>
      </c>
      <c r="B37" s="36" t="s">
        <v>77</v>
      </c>
      <c r="C37" s="48"/>
      <c r="D37" s="48"/>
      <c r="E37" s="48"/>
      <c r="F37" s="49"/>
      <c r="G37" s="23">
        <v>200</v>
      </c>
      <c r="H37" s="6">
        <v>5.8</v>
      </c>
      <c r="I37" s="6">
        <v>5</v>
      </c>
      <c r="J37" s="6">
        <v>8.4</v>
      </c>
      <c r="K37" s="6">
        <v>102</v>
      </c>
      <c r="L37" s="14">
        <v>0.04</v>
      </c>
      <c r="M37" s="6">
        <v>0.6</v>
      </c>
      <c r="N37" s="14">
        <v>40</v>
      </c>
      <c r="O37" s="6">
        <v>0</v>
      </c>
      <c r="P37" s="8">
        <f>248</f>
        <v>248</v>
      </c>
      <c r="Q37" s="8">
        <v>184</v>
      </c>
      <c r="R37" s="6">
        <v>28</v>
      </c>
      <c r="S37" s="6">
        <v>0.2</v>
      </c>
      <c r="T37" s="57"/>
    </row>
    <row r="38" spans="1:20" ht="18" customHeight="1" x14ac:dyDescent="0.35">
      <c r="A38" s="9"/>
      <c r="B38" s="42" t="s">
        <v>31</v>
      </c>
      <c r="C38" s="42"/>
      <c r="D38" s="42"/>
      <c r="E38" s="42"/>
      <c r="F38" s="42"/>
      <c r="G38" s="5"/>
      <c r="H38" s="19">
        <f t="shared" ref="H38:S38" si="4">SUM(H37:H37)</f>
        <v>5.8</v>
      </c>
      <c r="I38" s="19">
        <f t="shared" si="4"/>
        <v>5</v>
      </c>
      <c r="J38" s="19">
        <f t="shared" si="4"/>
        <v>8.4</v>
      </c>
      <c r="K38" s="19">
        <f t="shared" si="4"/>
        <v>102</v>
      </c>
      <c r="L38" s="20">
        <f t="shared" si="4"/>
        <v>0.04</v>
      </c>
      <c r="M38" s="19">
        <f t="shared" si="4"/>
        <v>0.6</v>
      </c>
      <c r="N38" s="20">
        <f t="shared" si="4"/>
        <v>40</v>
      </c>
      <c r="O38" s="19">
        <f t="shared" si="4"/>
        <v>0</v>
      </c>
      <c r="P38" s="21">
        <f t="shared" si="4"/>
        <v>248</v>
      </c>
      <c r="Q38" s="21">
        <f t="shared" si="4"/>
        <v>184</v>
      </c>
      <c r="R38" s="19">
        <f t="shared" si="4"/>
        <v>28</v>
      </c>
      <c r="S38" s="19">
        <f t="shared" si="4"/>
        <v>0.2</v>
      </c>
      <c r="T38" s="57"/>
    </row>
    <row r="39" spans="1:20" ht="18" customHeight="1" x14ac:dyDescent="0.35">
      <c r="A39" s="44" t="s">
        <v>30</v>
      </c>
      <c r="B39" s="42"/>
      <c r="C39" s="42"/>
      <c r="D39" s="42"/>
      <c r="E39" s="42"/>
      <c r="F39" s="42"/>
      <c r="G39" s="45"/>
      <c r="H39" s="19">
        <f>H14+H22+H26+H35+H38</f>
        <v>83.156199999999998</v>
      </c>
      <c r="I39" s="19">
        <f>I14+I22+I26+I35+I38</f>
        <v>84.458400000000012</v>
      </c>
      <c r="J39" s="19">
        <f>J22+J14+J26+J35+J38</f>
        <v>358.80759999999998</v>
      </c>
      <c r="K39" s="19">
        <f>K22+K14+K26+K35+K38</f>
        <v>2559.5100000000002</v>
      </c>
      <c r="L39" s="20">
        <f>L14+L22+L26+L35+L38</f>
        <v>1.0855000000000001</v>
      </c>
      <c r="M39" s="19">
        <f>M14+M22+M26+M35+M38</f>
        <v>126.148</v>
      </c>
      <c r="N39" s="20">
        <f>N14+N22+N26+N35+N38</f>
        <v>235.803</v>
      </c>
      <c r="O39" s="19">
        <f>O14+O22+O26+O35+O38</f>
        <v>13.319999999999999</v>
      </c>
      <c r="P39" s="21">
        <f>P22+P14+P26+P35+P38</f>
        <v>1228.8499999999999</v>
      </c>
      <c r="Q39" s="21">
        <f>Q14+Q22+Q26+Q35+Q38</f>
        <v>1636.3150000000001</v>
      </c>
      <c r="R39" s="19">
        <f>R14+R22+R26+R35+R38</f>
        <v>366.63499999999999</v>
      </c>
      <c r="S39" s="19">
        <f>S14+S22+S26+S35+S38</f>
        <v>35.7014</v>
      </c>
      <c r="T39" s="58"/>
    </row>
    <row r="40" spans="1:20" ht="18" customHeight="1" x14ac:dyDescent="0.35">
      <c r="A40" s="1" t="s">
        <v>57</v>
      </c>
      <c r="B40" s="1" t="s">
        <v>65</v>
      </c>
      <c r="F40" s="24"/>
      <c r="G40" s="24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5"/>
    </row>
    <row r="41" spans="1:20" ht="18" customHeight="1" x14ac:dyDescent="0.35">
      <c r="A41" s="1" t="s">
        <v>58</v>
      </c>
      <c r="B41" s="1" t="s">
        <v>59</v>
      </c>
      <c r="F41" s="24"/>
      <c r="G41" s="24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5"/>
    </row>
    <row r="42" spans="1:20" ht="18" customHeight="1" x14ac:dyDescent="0.35">
      <c r="A42" s="1" t="s">
        <v>60</v>
      </c>
      <c r="B42" s="1" t="s">
        <v>61</v>
      </c>
      <c r="F42" s="24"/>
      <c r="G42" s="2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5"/>
    </row>
    <row r="43" spans="1:20" ht="18" customHeight="1" x14ac:dyDescent="0.35">
      <c r="A43" s="34" t="s">
        <v>62</v>
      </c>
      <c r="B43" s="35"/>
      <c r="C43" s="35"/>
      <c r="D43" s="4"/>
      <c r="E43" s="4" t="s">
        <v>64</v>
      </c>
      <c r="F43" s="27"/>
      <c r="G43" s="27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5"/>
    </row>
    <row r="44" spans="1:20" ht="18" customHeight="1" x14ac:dyDescent="0.35">
      <c r="A44" s="43" t="s">
        <v>23</v>
      </c>
      <c r="B44" s="43" t="s">
        <v>20</v>
      </c>
      <c r="C44" s="43"/>
      <c r="D44" s="43"/>
      <c r="E44" s="43"/>
      <c r="F44" s="43"/>
      <c r="G44" s="54" t="s">
        <v>10</v>
      </c>
      <c r="H44" s="53" t="s">
        <v>17</v>
      </c>
      <c r="I44" s="53"/>
      <c r="J44" s="53"/>
      <c r="K44" s="53" t="s">
        <v>24</v>
      </c>
      <c r="L44" s="43" t="s">
        <v>11</v>
      </c>
      <c r="M44" s="43"/>
      <c r="N44" s="43"/>
      <c r="O44" s="43"/>
      <c r="P44" s="43" t="s">
        <v>49</v>
      </c>
      <c r="Q44" s="43"/>
      <c r="R44" s="43"/>
      <c r="S44" s="43"/>
      <c r="T44" s="56" t="s">
        <v>67</v>
      </c>
    </row>
    <row r="45" spans="1:20" ht="18" customHeight="1" x14ac:dyDescent="0.35">
      <c r="A45" s="43"/>
      <c r="B45" s="43"/>
      <c r="C45" s="43"/>
      <c r="D45" s="43"/>
      <c r="E45" s="43"/>
      <c r="F45" s="43"/>
      <c r="G45" s="55"/>
      <c r="H45" s="6" t="s">
        <v>42</v>
      </c>
      <c r="I45" s="6" t="s">
        <v>36</v>
      </c>
      <c r="J45" s="6" t="s">
        <v>34</v>
      </c>
      <c r="K45" s="53"/>
      <c r="L45" s="7" t="s">
        <v>43</v>
      </c>
      <c r="M45" s="6" t="s">
        <v>35</v>
      </c>
      <c r="N45" s="7" t="s">
        <v>33</v>
      </c>
      <c r="O45" s="6" t="s">
        <v>40</v>
      </c>
      <c r="P45" s="8" t="s">
        <v>39</v>
      </c>
      <c r="Q45" s="8" t="s">
        <v>41</v>
      </c>
      <c r="R45" s="8" t="s">
        <v>38</v>
      </c>
      <c r="S45" s="6" t="s">
        <v>37</v>
      </c>
      <c r="T45" s="57"/>
    </row>
    <row r="46" spans="1:20" ht="18" customHeight="1" x14ac:dyDescent="0.35">
      <c r="A46" s="7">
        <v>1</v>
      </c>
      <c r="B46" s="39">
        <v>2</v>
      </c>
      <c r="C46" s="40"/>
      <c r="D46" s="40"/>
      <c r="E46" s="40"/>
      <c r="F46" s="41"/>
      <c r="G46" s="5">
        <v>3</v>
      </c>
      <c r="H46" s="10">
        <v>4</v>
      </c>
      <c r="I46" s="10">
        <v>5</v>
      </c>
      <c r="J46" s="5">
        <v>6</v>
      </c>
      <c r="K46" s="5">
        <v>7</v>
      </c>
      <c r="L46" s="5">
        <v>8</v>
      </c>
      <c r="M46" s="5">
        <v>9</v>
      </c>
      <c r="N46" s="5">
        <v>10</v>
      </c>
      <c r="O46" s="5">
        <v>11</v>
      </c>
      <c r="P46" s="5">
        <v>12</v>
      </c>
      <c r="Q46" s="5">
        <v>13</v>
      </c>
      <c r="R46" s="5">
        <v>14</v>
      </c>
      <c r="S46" s="5">
        <v>15</v>
      </c>
      <c r="T46" s="57"/>
    </row>
    <row r="47" spans="1:20" ht="18" customHeight="1" x14ac:dyDescent="0.35">
      <c r="A47" s="44" t="s">
        <v>21</v>
      </c>
      <c r="B47" s="42"/>
      <c r="C47" s="42"/>
      <c r="D47" s="42"/>
      <c r="E47" s="42"/>
      <c r="F47" s="45"/>
      <c r="G47" s="7"/>
      <c r="H47" s="6"/>
      <c r="I47" s="6"/>
      <c r="J47" s="6"/>
      <c r="K47" s="6"/>
      <c r="L47" s="7"/>
      <c r="M47" s="6"/>
      <c r="N47" s="7"/>
      <c r="O47" s="6"/>
      <c r="P47" s="8"/>
      <c r="Q47" s="8"/>
      <c r="R47" s="8"/>
      <c r="S47" s="6"/>
      <c r="T47" s="57"/>
    </row>
    <row r="48" spans="1:20" ht="18" customHeight="1" x14ac:dyDescent="0.35">
      <c r="A48" s="7" t="s">
        <v>81</v>
      </c>
      <c r="B48" s="36" t="s">
        <v>82</v>
      </c>
      <c r="C48" s="37"/>
      <c r="D48" s="37"/>
      <c r="E48" s="37"/>
      <c r="F48" s="38"/>
      <c r="G48" s="15" t="s">
        <v>80</v>
      </c>
      <c r="H48" s="6">
        <f>36*0.25</f>
        <v>9</v>
      </c>
      <c r="I48" s="6">
        <f>33*0.25</f>
        <v>8.25</v>
      </c>
      <c r="J48" s="6">
        <f>164*0.25</f>
        <v>41</v>
      </c>
      <c r="K48" s="6">
        <f>1097*0.25</f>
        <v>274.25</v>
      </c>
      <c r="L48" s="14">
        <f>0.59*0.25</f>
        <v>0.14749999999999999</v>
      </c>
      <c r="M48" s="6">
        <f>6.3*0.25</f>
        <v>1.575</v>
      </c>
      <c r="N48" s="14">
        <f>193*0.25</f>
        <v>48.25</v>
      </c>
      <c r="O48" s="6">
        <f>3.5*0.25</f>
        <v>0.875</v>
      </c>
      <c r="P48" s="8">
        <f>770*0.25</f>
        <v>192.5</v>
      </c>
      <c r="Q48" s="8">
        <f>1191*0.25</f>
        <v>297.75</v>
      </c>
      <c r="R48" s="6">
        <f>177*0.25</f>
        <v>44.25</v>
      </c>
      <c r="S48" s="6">
        <f>4.52*0.25</f>
        <v>1.1299999999999999</v>
      </c>
      <c r="T48" s="57"/>
    </row>
    <row r="49" spans="1:20" ht="18.75" customHeight="1" x14ac:dyDescent="0.35">
      <c r="A49" s="7" t="s">
        <v>50</v>
      </c>
      <c r="B49" s="36" t="s">
        <v>72</v>
      </c>
      <c r="C49" s="37"/>
      <c r="D49" s="37"/>
      <c r="E49" s="37"/>
      <c r="F49" s="38"/>
      <c r="G49" s="15" t="s">
        <v>51</v>
      </c>
      <c r="H49" s="6">
        <v>6.7</v>
      </c>
      <c r="I49" s="6">
        <v>9.5</v>
      </c>
      <c r="J49" s="6">
        <v>9.9</v>
      </c>
      <c r="K49" s="6">
        <v>153</v>
      </c>
      <c r="L49" s="14">
        <v>0.03</v>
      </c>
      <c r="M49" s="6">
        <v>0.1</v>
      </c>
      <c r="N49" s="14">
        <v>0.08</v>
      </c>
      <c r="O49" s="6">
        <v>0.4</v>
      </c>
      <c r="P49" s="16">
        <v>185</v>
      </c>
      <c r="Q49" s="16">
        <v>132</v>
      </c>
      <c r="R49" s="17">
        <v>13</v>
      </c>
      <c r="S49" s="6">
        <v>0.4</v>
      </c>
      <c r="T49" s="57"/>
    </row>
    <row r="50" spans="1:20" ht="18" customHeight="1" x14ac:dyDescent="0.35">
      <c r="A50" s="7" t="s">
        <v>0</v>
      </c>
      <c r="B50" s="39" t="s">
        <v>6</v>
      </c>
      <c r="C50" s="40"/>
      <c r="D50" s="40"/>
      <c r="E50" s="40"/>
      <c r="F50" s="41"/>
      <c r="G50" s="15" t="s">
        <v>47</v>
      </c>
      <c r="H50" s="6">
        <f>7.5*0.4</f>
        <v>3</v>
      </c>
      <c r="I50" s="6">
        <f>2.9*0.4</f>
        <v>1.1599999999999999</v>
      </c>
      <c r="J50" s="6">
        <f>51.4*0.4</f>
        <v>20.560000000000002</v>
      </c>
      <c r="K50" s="6">
        <f>262*0.4</f>
        <v>104.80000000000001</v>
      </c>
      <c r="L50" s="14">
        <f>0.11*0.4</f>
        <v>4.4000000000000004E-2</v>
      </c>
      <c r="M50" s="6">
        <v>0</v>
      </c>
      <c r="N50" s="14">
        <v>0</v>
      </c>
      <c r="O50" s="6">
        <f>1.7*0.4</f>
        <v>0.68</v>
      </c>
      <c r="P50" s="8">
        <f>19*0.4</f>
        <v>7.6000000000000005</v>
      </c>
      <c r="Q50" s="8">
        <f>65*0.4</f>
        <v>26</v>
      </c>
      <c r="R50" s="6">
        <f>13*0.4</f>
        <v>5.2</v>
      </c>
      <c r="S50" s="6">
        <f>1.2*0.4</f>
        <v>0.48</v>
      </c>
      <c r="T50" s="57"/>
    </row>
    <row r="51" spans="1:20" ht="18.75" customHeight="1" x14ac:dyDescent="0.35">
      <c r="A51" s="7" t="s">
        <v>4</v>
      </c>
      <c r="B51" s="39" t="s">
        <v>52</v>
      </c>
      <c r="C51" s="40"/>
      <c r="D51" s="40"/>
      <c r="E51" s="40"/>
      <c r="F51" s="41"/>
      <c r="G51" s="7">
        <v>200</v>
      </c>
      <c r="H51" s="6">
        <f>0.8*2</f>
        <v>1.6</v>
      </c>
      <c r="I51" s="6">
        <f>0.2*2</f>
        <v>0.4</v>
      </c>
      <c r="J51" s="6">
        <f>7.5*2</f>
        <v>15</v>
      </c>
      <c r="K51" s="6">
        <f>38*2</f>
        <v>76</v>
      </c>
      <c r="L51" s="14">
        <f>0.06*2</f>
        <v>0.12</v>
      </c>
      <c r="M51" s="6">
        <f>38*2</f>
        <v>76</v>
      </c>
      <c r="N51" s="14">
        <v>0</v>
      </c>
      <c r="O51" s="6">
        <f>0.2*2</f>
        <v>0.4</v>
      </c>
      <c r="P51" s="8">
        <f>35*2</f>
        <v>70</v>
      </c>
      <c r="Q51" s="8">
        <f>17*2</f>
        <v>34</v>
      </c>
      <c r="R51" s="6">
        <v>11</v>
      </c>
      <c r="S51" s="6">
        <v>0.1</v>
      </c>
      <c r="T51" s="57"/>
    </row>
    <row r="52" spans="1:20" ht="18.75" customHeight="1" x14ac:dyDescent="0.35">
      <c r="A52" s="7" t="s">
        <v>15</v>
      </c>
      <c r="B52" s="39" t="s">
        <v>69</v>
      </c>
      <c r="C52" s="40"/>
      <c r="D52" s="40"/>
      <c r="E52" s="40"/>
      <c r="F52" s="41"/>
      <c r="G52" s="13">
        <v>200</v>
      </c>
      <c r="H52" s="6">
        <v>2.9</v>
      </c>
      <c r="I52" s="6">
        <v>2</v>
      </c>
      <c r="J52" s="6">
        <v>20.9</v>
      </c>
      <c r="K52" s="6">
        <v>113</v>
      </c>
      <c r="L52" s="14">
        <v>0.02</v>
      </c>
      <c r="M52" s="6">
        <v>0.4</v>
      </c>
      <c r="N52" s="14">
        <v>0.01</v>
      </c>
      <c r="O52" s="6">
        <v>0</v>
      </c>
      <c r="P52" s="8">
        <v>129</v>
      </c>
      <c r="Q52" s="8">
        <v>87</v>
      </c>
      <c r="R52" s="6">
        <v>13</v>
      </c>
      <c r="S52" s="6">
        <v>0.8</v>
      </c>
      <c r="T52" s="57"/>
    </row>
    <row r="53" spans="1:20" ht="18" customHeight="1" x14ac:dyDescent="0.35">
      <c r="A53" s="18"/>
      <c r="B53" s="42" t="s">
        <v>8</v>
      </c>
      <c r="C53" s="42"/>
      <c r="D53" s="42"/>
      <c r="E53" s="42"/>
      <c r="F53" s="45"/>
      <c r="G53" s="33">
        <f>G52+G51+G50+G49+G48</f>
        <v>735</v>
      </c>
      <c r="H53" s="19">
        <f t="shared" ref="H53:S53" si="5">SUM(H48:H52)</f>
        <v>23.2</v>
      </c>
      <c r="I53" s="19">
        <f t="shared" si="5"/>
        <v>21.31</v>
      </c>
      <c r="J53" s="19">
        <f t="shared" si="5"/>
        <v>107.36000000000001</v>
      </c>
      <c r="K53" s="19">
        <f t="shared" si="5"/>
        <v>721.05</v>
      </c>
      <c r="L53" s="20">
        <f t="shared" si="5"/>
        <v>0.36150000000000004</v>
      </c>
      <c r="M53" s="19">
        <f t="shared" si="5"/>
        <v>78.075000000000003</v>
      </c>
      <c r="N53" s="20">
        <f t="shared" si="5"/>
        <v>48.339999999999996</v>
      </c>
      <c r="O53" s="19">
        <f t="shared" si="5"/>
        <v>2.355</v>
      </c>
      <c r="P53" s="21">
        <f t="shared" si="5"/>
        <v>584.1</v>
      </c>
      <c r="Q53" s="21">
        <f t="shared" si="5"/>
        <v>576.75</v>
      </c>
      <c r="R53" s="19">
        <f t="shared" si="5"/>
        <v>86.45</v>
      </c>
      <c r="S53" s="19">
        <f t="shared" si="5"/>
        <v>2.91</v>
      </c>
      <c r="T53" s="57"/>
    </row>
    <row r="54" spans="1:20" ht="18" customHeight="1" x14ac:dyDescent="0.35">
      <c r="A54" s="44" t="s">
        <v>22</v>
      </c>
      <c r="B54" s="42"/>
      <c r="C54" s="42"/>
      <c r="D54" s="42"/>
      <c r="E54" s="42"/>
      <c r="F54" s="45"/>
      <c r="G54" s="13"/>
      <c r="H54" s="6"/>
      <c r="I54" s="6"/>
      <c r="J54" s="6"/>
      <c r="K54" s="6"/>
      <c r="L54" s="14"/>
      <c r="M54" s="6"/>
      <c r="N54" s="14"/>
      <c r="O54" s="6"/>
      <c r="P54" s="8"/>
      <c r="Q54" s="8"/>
      <c r="R54" s="6"/>
      <c r="S54" s="6"/>
      <c r="T54" s="57"/>
    </row>
    <row r="55" spans="1:20" ht="18" customHeight="1" x14ac:dyDescent="0.35">
      <c r="A55" s="7" t="s">
        <v>73</v>
      </c>
      <c r="B55" s="36" t="s">
        <v>16</v>
      </c>
      <c r="C55" s="37"/>
      <c r="D55" s="37"/>
      <c r="E55" s="37"/>
      <c r="F55" s="38"/>
      <c r="G55" s="13">
        <v>100</v>
      </c>
      <c r="H55" s="6">
        <f>1.6</f>
        <v>1.6</v>
      </c>
      <c r="I55" s="6">
        <f>6.1</f>
        <v>6.1</v>
      </c>
      <c r="J55" s="6">
        <f>8.3</f>
        <v>8.3000000000000007</v>
      </c>
      <c r="K55" s="6">
        <f>94</f>
        <v>94</v>
      </c>
      <c r="L55" s="14">
        <f>0.02</f>
        <v>0.02</v>
      </c>
      <c r="M55" s="6">
        <f>17.8</f>
        <v>17.8</v>
      </c>
      <c r="N55" s="14">
        <v>0</v>
      </c>
      <c r="O55" s="6">
        <f>4.5</f>
        <v>4.5</v>
      </c>
      <c r="P55" s="8">
        <f>42.3</f>
        <v>42.3</v>
      </c>
      <c r="Q55" s="8">
        <f>31.2</f>
        <v>31.2</v>
      </c>
      <c r="R55" s="6">
        <f>14.4</f>
        <v>14.4</v>
      </c>
      <c r="S55" s="6">
        <f>0.58</f>
        <v>0.57999999999999996</v>
      </c>
      <c r="T55" s="57"/>
    </row>
    <row r="56" spans="1:20" ht="33.75" customHeight="1" x14ac:dyDescent="0.35">
      <c r="A56" s="29" t="s">
        <v>84</v>
      </c>
      <c r="B56" s="36" t="s">
        <v>83</v>
      </c>
      <c r="C56" s="37"/>
      <c r="D56" s="37"/>
      <c r="E56" s="37"/>
      <c r="F56" s="38"/>
      <c r="G56" s="13">
        <v>300</v>
      </c>
      <c r="H56" s="6">
        <f>7.3*0.3+6*0.24+26*0.02</f>
        <v>4.1500000000000004</v>
      </c>
      <c r="I56" s="6">
        <f>20*0.3+2*0.24+150*0.02</f>
        <v>9.48</v>
      </c>
      <c r="J56" s="6">
        <f>42.6*0.3+36*0.02</f>
        <v>13.5</v>
      </c>
      <c r="K56" s="6">
        <f>380*0.3+42*0.24+1620*0.02</f>
        <v>156.47999999999999</v>
      </c>
      <c r="L56" s="14">
        <f>0.19*0.3+0.1*0.24+0.3*0.02</f>
        <v>8.6999999999999994E-2</v>
      </c>
      <c r="M56" s="6">
        <f>41.2*0.3+4*0.02</f>
        <v>12.440000000000001</v>
      </c>
      <c r="N56" s="14">
        <f>0+1*0.02</f>
        <v>0.02</v>
      </c>
      <c r="O56" s="6">
        <f>9.6*0.3+3*0.02</f>
        <v>2.94</v>
      </c>
      <c r="P56" s="8">
        <f>138*0.3+50*0.24+880*0.02</f>
        <v>71</v>
      </c>
      <c r="Q56" s="8">
        <f>212*0.3+34*0.24+610*0.02</f>
        <v>83.96</v>
      </c>
      <c r="R56" s="6">
        <f>105*0.3+10*0.24+9*0.02</f>
        <v>34.08</v>
      </c>
      <c r="S56" s="6">
        <f>4.8*0.3+2*0.02</f>
        <v>1.48</v>
      </c>
      <c r="T56" s="57"/>
    </row>
    <row r="57" spans="1:20" ht="18" customHeight="1" x14ac:dyDescent="0.35">
      <c r="A57" s="7" t="s">
        <v>48</v>
      </c>
      <c r="B57" s="36" t="s">
        <v>28</v>
      </c>
      <c r="C57" s="37"/>
      <c r="D57" s="37"/>
      <c r="E57" s="37"/>
      <c r="F57" s="38"/>
      <c r="G57" s="15" t="s">
        <v>80</v>
      </c>
      <c r="H57" s="6">
        <f>18.9</f>
        <v>18.899999999999999</v>
      </c>
      <c r="I57" s="6">
        <f>18.6</f>
        <v>18.600000000000001</v>
      </c>
      <c r="J57" s="6">
        <f>49.2</f>
        <v>49.2</v>
      </c>
      <c r="K57" s="6">
        <f>440</f>
        <v>440</v>
      </c>
      <c r="L57" s="14">
        <f>0.07</f>
        <v>7.0000000000000007E-2</v>
      </c>
      <c r="M57" s="6">
        <f>0.4</f>
        <v>0.4</v>
      </c>
      <c r="N57" s="14">
        <f>0.06</f>
        <v>0.06</v>
      </c>
      <c r="O57" s="6">
        <f>0.8</f>
        <v>0.8</v>
      </c>
      <c r="P57" s="8">
        <f>23</f>
        <v>23</v>
      </c>
      <c r="Q57" s="8">
        <f>227</f>
        <v>227</v>
      </c>
      <c r="R57" s="6">
        <f>53</f>
        <v>53</v>
      </c>
      <c r="S57" s="6">
        <f>2.8</f>
        <v>2.8</v>
      </c>
      <c r="T57" s="57"/>
    </row>
    <row r="58" spans="1:20" ht="18" customHeight="1" x14ac:dyDescent="0.35">
      <c r="A58" s="7" t="s">
        <v>5</v>
      </c>
      <c r="B58" s="39" t="s">
        <v>7</v>
      </c>
      <c r="C58" s="46"/>
      <c r="D58" s="46"/>
      <c r="E58" s="46"/>
      <c r="F58" s="47"/>
      <c r="G58" s="15" t="s">
        <v>47</v>
      </c>
      <c r="H58" s="6">
        <f>7.6*0.4</f>
        <v>3.04</v>
      </c>
      <c r="I58" s="6">
        <f>0.8*0.4</f>
        <v>0.32000000000000006</v>
      </c>
      <c r="J58" s="6">
        <f>49.2*0.4</f>
        <v>19.680000000000003</v>
      </c>
      <c r="K58" s="6">
        <f>235*0.4</f>
        <v>94</v>
      </c>
      <c r="L58" s="14">
        <f>0.11*0.4</f>
        <v>4.4000000000000004E-2</v>
      </c>
      <c r="M58" s="6">
        <v>0</v>
      </c>
      <c r="N58" s="14">
        <v>0</v>
      </c>
      <c r="O58" s="6">
        <f>1.1*0.4</f>
        <v>0.44000000000000006</v>
      </c>
      <c r="P58" s="8">
        <f>20*0.4</f>
        <v>8</v>
      </c>
      <c r="Q58" s="8">
        <f>65*0.4</f>
        <v>26</v>
      </c>
      <c r="R58" s="6">
        <f>14*0.4</f>
        <v>5.6000000000000005</v>
      </c>
      <c r="S58" s="6">
        <f>30.3*0.4</f>
        <v>12.120000000000001</v>
      </c>
      <c r="T58" s="57"/>
    </row>
    <row r="59" spans="1:20" ht="18" customHeight="1" x14ac:dyDescent="0.35">
      <c r="A59" s="7" t="s">
        <v>2</v>
      </c>
      <c r="B59" s="39" t="s">
        <v>3</v>
      </c>
      <c r="C59" s="40"/>
      <c r="D59" s="40"/>
      <c r="E59" s="40"/>
      <c r="F59" s="41"/>
      <c r="G59" s="7">
        <v>60</v>
      </c>
      <c r="H59" s="6">
        <f>6.6*0.6</f>
        <v>3.9599999999999995</v>
      </c>
      <c r="I59" s="6">
        <f>1.2*0.6</f>
        <v>0.72</v>
      </c>
      <c r="J59" s="6">
        <f>33.4*0.6</f>
        <v>20.04</v>
      </c>
      <c r="K59" s="6">
        <f>174*0.6</f>
        <v>104.39999999999999</v>
      </c>
      <c r="L59" s="14">
        <f>0.18*0.6</f>
        <v>0.108</v>
      </c>
      <c r="M59" s="6">
        <v>0</v>
      </c>
      <c r="N59" s="14">
        <v>0</v>
      </c>
      <c r="O59" s="6">
        <f>1.4*0.6</f>
        <v>0.84</v>
      </c>
      <c r="P59" s="8">
        <f>35*0.6</f>
        <v>21</v>
      </c>
      <c r="Q59" s="8">
        <f>158*0.6</f>
        <v>94.8</v>
      </c>
      <c r="R59" s="6">
        <f>47*0.6</f>
        <v>28.2</v>
      </c>
      <c r="S59" s="6">
        <f>3.9*0.6</f>
        <v>2.34</v>
      </c>
      <c r="T59" s="57"/>
    </row>
    <row r="60" spans="1:20" ht="21.75" customHeight="1" x14ac:dyDescent="0.35">
      <c r="A60" s="7" t="s">
        <v>53</v>
      </c>
      <c r="B60" s="39" t="s">
        <v>54</v>
      </c>
      <c r="C60" s="46"/>
      <c r="D60" s="46"/>
      <c r="E60" s="46"/>
      <c r="F60" s="47"/>
      <c r="G60" s="23">
        <v>200</v>
      </c>
      <c r="H60" s="6">
        <f>4.46*0.2</f>
        <v>0.89200000000000002</v>
      </c>
      <c r="I60" s="6">
        <f>0.3*0.2</f>
        <v>0.06</v>
      </c>
      <c r="J60" s="6">
        <f>163.76*0.2</f>
        <v>32.752000000000002</v>
      </c>
      <c r="K60" s="6">
        <f>773*0.2</f>
        <v>154.60000000000002</v>
      </c>
      <c r="L60" s="30">
        <f>0.1*0.2</f>
        <v>2.0000000000000004E-2</v>
      </c>
      <c r="M60" s="31">
        <f>2.44*0.2</f>
        <v>0.48799999999999999</v>
      </c>
      <c r="N60" s="30">
        <v>0</v>
      </c>
      <c r="O60" s="6">
        <v>0</v>
      </c>
      <c r="P60" s="8">
        <f>156.2*0.2</f>
        <v>31.24</v>
      </c>
      <c r="Q60" s="8">
        <f>126.5*0.2</f>
        <v>25.3</v>
      </c>
      <c r="R60" s="6">
        <f>91.9*0.2</f>
        <v>18.380000000000003</v>
      </c>
      <c r="S60" s="6">
        <f>2.75*0.2</f>
        <v>0.55000000000000004</v>
      </c>
      <c r="T60" s="57"/>
    </row>
    <row r="61" spans="1:20" ht="18" customHeight="1" x14ac:dyDescent="0.35">
      <c r="A61" s="11"/>
      <c r="B61" s="42" t="s">
        <v>9</v>
      </c>
      <c r="C61" s="42"/>
      <c r="D61" s="42"/>
      <c r="E61" s="42"/>
      <c r="F61" s="42"/>
      <c r="G61" s="33">
        <f>G60+G59+G58+G57+G56+G55</f>
        <v>950</v>
      </c>
      <c r="H61" s="19">
        <f t="shared" ref="H61:S61" si="6">SUM(H55:H60)</f>
        <v>32.542000000000002</v>
      </c>
      <c r="I61" s="19">
        <f t="shared" si="6"/>
        <v>35.28</v>
      </c>
      <c r="J61" s="19">
        <f t="shared" si="6"/>
        <v>143.47200000000001</v>
      </c>
      <c r="K61" s="19">
        <f t="shared" si="6"/>
        <v>1043.48</v>
      </c>
      <c r="L61" s="20">
        <f t="shared" si="6"/>
        <v>0.34900000000000003</v>
      </c>
      <c r="M61" s="19">
        <f t="shared" si="6"/>
        <v>31.128</v>
      </c>
      <c r="N61" s="20">
        <f t="shared" si="6"/>
        <v>0.08</v>
      </c>
      <c r="O61" s="19">
        <f t="shared" si="6"/>
        <v>9.52</v>
      </c>
      <c r="P61" s="21">
        <f t="shared" si="6"/>
        <v>196.54000000000002</v>
      </c>
      <c r="Q61" s="21">
        <f t="shared" si="6"/>
        <v>488.26</v>
      </c>
      <c r="R61" s="19">
        <f t="shared" si="6"/>
        <v>153.65999999999997</v>
      </c>
      <c r="S61" s="19">
        <f t="shared" si="6"/>
        <v>19.87</v>
      </c>
      <c r="T61" s="57"/>
    </row>
    <row r="62" spans="1:20" ht="18" customHeight="1" x14ac:dyDescent="0.35">
      <c r="A62" s="44" t="s">
        <v>25</v>
      </c>
      <c r="B62" s="46"/>
      <c r="C62" s="46"/>
      <c r="D62" s="46"/>
      <c r="E62" s="46"/>
      <c r="F62" s="47"/>
      <c r="G62" s="12"/>
      <c r="H62" s="19"/>
      <c r="I62" s="19"/>
      <c r="J62" s="19"/>
      <c r="K62" s="19"/>
      <c r="L62" s="20"/>
      <c r="M62" s="19"/>
      <c r="N62" s="20"/>
      <c r="O62" s="19"/>
      <c r="P62" s="21"/>
      <c r="Q62" s="21"/>
      <c r="R62" s="19"/>
      <c r="S62" s="19"/>
      <c r="T62" s="57"/>
    </row>
    <row r="63" spans="1:20" ht="18" customHeight="1" x14ac:dyDescent="0.35">
      <c r="A63" s="7" t="s">
        <v>76</v>
      </c>
      <c r="B63" s="36" t="s">
        <v>19</v>
      </c>
      <c r="C63" s="37"/>
      <c r="D63" s="37"/>
      <c r="E63" s="37"/>
      <c r="F63" s="38"/>
      <c r="G63" s="7">
        <v>200</v>
      </c>
      <c r="H63" s="6">
        <f>0.1</f>
        <v>0.1</v>
      </c>
      <c r="I63" s="6">
        <f>0.04</f>
        <v>0.04</v>
      </c>
      <c r="J63" s="6">
        <f>9.9</f>
        <v>9.9</v>
      </c>
      <c r="K63" s="6">
        <f>41</f>
        <v>41</v>
      </c>
      <c r="L63" s="14">
        <v>0</v>
      </c>
      <c r="M63" s="6">
        <v>1.1000000000000001</v>
      </c>
      <c r="N63" s="14">
        <v>0</v>
      </c>
      <c r="O63" s="6">
        <v>0.2</v>
      </c>
      <c r="P63" s="8">
        <v>3</v>
      </c>
      <c r="Q63" s="8">
        <v>2</v>
      </c>
      <c r="R63" s="6">
        <v>2.9</v>
      </c>
      <c r="S63" s="6">
        <v>0.15</v>
      </c>
      <c r="T63" s="57"/>
    </row>
    <row r="64" spans="1:20" ht="30.75" customHeight="1" x14ac:dyDescent="0.35">
      <c r="A64" s="29" t="s">
        <v>75</v>
      </c>
      <c r="B64" s="36" t="s">
        <v>74</v>
      </c>
      <c r="C64" s="37"/>
      <c r="D64" s="37"/>
      <c r="E64" s="37"/>
      <c r="F64" s="38"/>
      <c r="G64" s="15" t="s">
        <v>44</v>
      </c>
      <c r="H64" s="6">
        <f>7.2*150/130+54.9*0.05</f>
        <v>11.052692307692308</v>
      </c>
      <c r="I64" s="6">
        <f>6.7*150/130+53.4*0.05</f>
        <v>10.400769230769232</v>
      </c>
      <c r="J64" s="6">
        <f>40.4*150/130+422.4*0.05</f>
        <v>67.735384615384618</v>
      </c>
      <c r="K64" s="6">
        <f>251*150/130+2390*0.05</f>
        <v>409.11538461538464</v>
      </c>
      <c r="L64" s="14">
        <f>0.06*150/130+0.3*0.05</f>
        <v>8.4230769230769234E-2</v>
      </c>
      <c r="M64" s="6">
        <f>0.2*150/130+2.3*0.05</f>
        <v>0.34576923076923077</v>
      </c>
      <c r="N64" s="14">
        <f>74.7*150/130+181.5*0.05</f>
        <v>95.267307692307696</v>
      </c>
      <c r="O64" s="6">
        <f>0.7*150/130+1.2*0.05</f>
        <v>0.86769230769230776</v>
      </c>
      <c r="P64" s="8">
        <f>72.4*150/130+1387.1*0.05</f>
        <v>152.89346153846154</v>
      </c>
      <c r="Q64" s="8">
        <f>103.7*150/130+1456.1*0.05</f>
        <v>192.45884615384614</v>
      </c>
      <c r="R64" s="6">
        <f>14.4*150/130+543*0.05</f>
        <v>43.765384615384619</v>
      </c>
      <c r="S64" s="6">
        <f>0.93*150/130+22.74*0.05</f>
        <v>2.2100769230769233</v>
      </c>
      <c r="T64" s="57"/>
    </row>
    <row r="65" spans="1:20" ht="18" customHeight="1" x14ac:dyDescent="0.35">
      <c r="A65" s="11"/>
      <c r="B65" s="44"/>
      <c r="C65" s="42"/>
      <c r="D65" s="42"/>
      <c r="E65" s="42"/>
      <c r="F65" s="45"/>
      <c r="G65" s="32">
        <f>G64+G63</f>
        <v>400</v>
      </c>
      <c r="H65" s="19">
        <f t="shared" ref="H65:S65" si="7">SUM(H63:H64)</f>
        <v>11.152692307692307</v>
      </c>
      <c r="I65" s="19">
        <f t="shared" si="7"/>
        <v>10.440769230769231</v>
      </c>
      <c r="J65" s="19">
        <f t="shared" si="7"/>
        <v>77.635384615384623</v>
      </c>
      <c r="K65" s="19">
        <f t="shared" si="7"/>
        <v>450.11538461538464</v>
      </c>
      <c r="L65" s="20">
        <f t="shared" si="7"/>
        <v>8.4230769230769234E-2</v>
      </c>
      <c r="M65" s="19">
        <f t="shared" si="7"/>
        <v>1.4457692307692309</v>
      </c>
      <c r="N65" s="20">
        <f t="shared" si="7"/>
        <v>95.267307692307696</v>
      </c>
      <c r="O65" s="19">
        <f t="shared" si="7"/>
        <v>1.0676923076923077</v>
      </c>
      <c r="P65" s="21">
        <f t="shared" si="7"/>
        <v>155.89346153846154</v>
      </c>
      <c r="Q65" s="21">
        <f t="shared" si="7"/>
        <v>194.45884615384614</v>
      </c>
      <c r="R65" s="19">
        <f t="shared" si="7"/>
        <v>46.665384615384617</v>
      </c>
      <c r="S65" s="19">
        <f t="shared" si="7"/>
        <v>2.3600769230769232</v>
      </c>
      <c r="T65" s="57"/>
    </row>
    <row r="66" spans="1:20" ht="18" customHeight="1" x14ac:dyDescent="0.35">
      <c r="A66" s="11"/>
      <c r="B66" s="42" t="s">
        <v>32</v>
      </c>
      <c r="C66" s="42"/>
      <c r="D66" s="42"/>
      <c r="E66" s="42"/>
      <c r="F66" s="42"/>
      <c r="G66" s="22"/>
      <c r="H66" s="19"/>
      <c r="I66" s="19"/>
      <c r="J66" s="19"/>
      <c r="K66" s="19"/>
      <c r="L66" s="20"/>
      <c r="M66" s="19"/>
      <c r="N66" s="20"/>
      <c r="O66" s="19"/>
      <c r="P66" s="21"/>
      <c r="Q66" s="21"/>
      <c r="R66" s="19"/>
      <c r="S66" s="19"/>
      <c r="T66" s="57"/>
    </row>
    <row r="67" spans="1:20" ht="18" customHeight="1" x14ac:dyDescent="0.35">
      <c r="A67" s="44" t="s">
        <v>26</v>
      </c>
      <c r="B67" s="46"/>
      <c r="C67" s="46"/>
      <c r="D67" s="46"/>
      <c r="E67" s="46"/>
      <c r="F67" s="47"/>
      <c r="G67" s="12"/>
      <c r="H67" s="19"/>
      <c r="I67" s="19"/>
      <c r="J67" s="19"/>
      <c r="K67" s="19"/>
      <c r="L67" s="20"/>
      <c r="M67" s="19"/>
      <c r="N67" s="20"/>
      <c r="O67" s="19"/>
      <c r="P67" s="21"/>
      <c r="Q67" s="21"/>
      <c r="R67" s="19"/>
      <c r="S67" s="19"/>
      <c r="T67" s="57"/>
    </row>
    <row r="68" spans="1:20" ht="18" customHeight="1" x14ac:dyDescent="0.35">
      <c r="A68" s="7" t="s">
        <v>71</v>
      </c>
      <c r="B68" s="36" t="s">
        <v>68</v>
      </c>
      <c r="C68" s="37"/>
      <c r="D68" s="37"/>
      <c r="E68" s="37"/>
      <c r="F68" s="38"/>
      <c r="G68" s="23">
        <v>100</v>
      </c>
      <c r="H68" s="6">
        <f>29.82*0.1</f>
        <v>2.9820000000000002</v>
      </c>
      <c r="I68" s="6">
        <f>51.89*0.1</f>
        <v>5.1890000000000001</v>
      </c>
      <c r="J68" s="6">
        <f>62.51*0.1</f>
        <v>6.2510000000000003</v>
      </c>
      <c r="K68" s="6">
        <f>836*0.1</f>
        <v>83.600000000000009</v>
      </c>
      <c r="L68" s="14">
        <f>1.05*0.1</f>
        <v>0.10500000000000001</v>
      </c>
      <c r="M68" s="6">
        <f>110*0.1</f>
        <v>11</v>
      </c>
      <c r="N68" s="14">
        <v>0</v>
      </c>
      <c r="O68" s="6">
        <v>0</v>
      </c>
      <c r="P68" s="8">
        <f>214.5*0.1</f>
        <v>21.450000000000003</v>
      </c>
      <c r="Q68" s="8">
        <f>599.5*0.1</f>
        <v>59.95</v>
      </c>
      <c r="R68" s="6">
        <f>208*0.1</f>
        <v>20.8</v>
      </c>
      <c r="S68" s="6">
        <f>6.84*0.106</f>
        <v>0.72504000000000002</v>
      </c>
      <c r="T68" s="57"/>
    </row>
    <row r="69" spans="1:20" ht="18" customHeight="1" x14ac:dyDescent="0.35">
      <c r="A69" s="7" t="s">
        <v>79</v>
      </c>
      <c r="B69" s="50" t="s">
        <v>78</v>
      </c>
      <c r="C69" s="51"/>
      <c r="D69" s="51"/>
      <c r="E69" s="51"/>
      <c r="F69" s="52"/>
      <c r="G69" s="15" t="s">
        <v>46</v>
      </c>
      <c r="H69" s="6">
        <f>18*0.5+29.5*0.05</f>
        <v>10.475</v>
      </c>
      <c r="I69" s="6">
        <f>0.7*0.5+200.5*0.05</f>
        <v>10.375</v>
      </c>
      <c r="J69" s="6">
        <f>0.8*0.5+27.7*0.05</f>
        <v>1.7850000000000001</v>
      </c>
      <c r="K69" s="6">
        <f>82*0.5+2033*0.05</f>
        <v>142.65</v>
      </c>
      <c r="L69" s="14">
        <f>0.07*0.7+0.24*0.05</f>
        <v>6.0999999999999999E-2</v>
      </c>
      <c r="M69" s="6">
        <f>1.6*0.7+11.3*0.05</f>
        <v>1.6850000000000001</v>
      </c>
      <c r="N69" s="14">
        <f>8*0.7+1352.5*0.05</f>
        <v>73.224999999999994</v>
      </c>
      <c r="O69" s="6">
        <f>1.1*0.7+4.4*0.05</f>
        <v>0.99</v>
      </c>
      <c r="P69" s="8">
        <f>30*0.7+267.7*0.05</f>
        <v>34.384999999999998</v>
      </c>
      <c r="Q69" s="8">
        <f>195*0.7+456.8*0.05</f>
        <v>159.34</v>
      </c>
      <c r="R69" s="6">
        <f>23*0.7+57.5*0.05</f>
        <v>18.974999999999998</v>
      </c>
      <c r="S69" s="6">
        <f>0.56*0.7+5.56*0.05</f>
        <v>0.66999999999999993</v>
      </c>
      <c r="T69" s="57"/>
    </row>
    <row r="70" spans="1:20" ht="18" customHeight="1" x14ac:dyDescent="0.35">
      <c r="A70" s="7" t="s">
        <v>1</v>
      </c>
      <c r="B70" s="39" t="s">
        <v>18</v>
      </c>
      <c r="C70" s="40"/>
      <c r="D70" s="40"/>
      <c r="E70" s="40"/>
      <c r="F70" s="41"/>
      <c r="G70" s="23">
        <v>200</v>
      </c>
      <c r="H70" s="6">
        <f>2.1*2</f>
        <v>4.2</v>
      </c>
      <c r="I70" s="6">
        <f>4.4*2</f>
        <v>8.8000000000000007</v>
      </c>
      <c r="J70" s="6">
        <f>10.9*2</f>
        <v>21.8</v>
      </c>
      <c r="K70" s="6">
        <f>92*2</f>
        <v>184</v>
      </c>
      <c r="L70" s="14">
        <f>0.09*2</f>
        <v>0.18</v>
      </c>
      <c r="M70" s="6">
        <f>3.4*2</f>
        <v>6.8</v>
      </c>
      <c r="N70" s="14">
        <f>0.03*2</f>
        <v>0.06</v>
      </c>
      <c r="O70" s="6">
        <f>0.1*2</f>
        <v>0.2</v>
      </c>
      <c r="P70" s="8">
        <f>26*2</f>
        <v>52</v>
      </c>
      <c r="Q70" s="8">
        <f>57*2</f>
        <v>114</v>
      </c>
      <c r="R70" s="6">
        <f>19*2</f>
        <v>38</v>
      </c>
      <c r="S70" s="6">
        <f>0.7*2</f>
        <v>1.4</v>
      </c>
      <c r="T70" s="57"/>
    </row>
    <row r="71" spans="1:20" ht="18" customHeight="1" x14ac:dyDescent="0.35">
      <c r="A71" s="7" t="s">
        <v>5</v>
      </c>
      <c r="B71" s="39" t="s">
        <v>7</v>
      </c>
      <c r="C71" s="46"/>
      <c r="D71" s="46"/>
      <c r="E71" s="46"/>
      <c r="F71" s="47"/>
      <c r="G71" s="15" t="s">
        <v>45</v>
      </c>
      <c r="H71" s="6">
        <f>7.6*0.2</f>
        <v>1.52</v>
      </c>
      <c r="I71" s="6">
        <f>0.8*0.2</f>
        <v>0.16000000000000003</v>
      </c>
      <c r="J71" s="6">
        <f>49.2*0.2</f>
        <v>9.8400000000000016</v>
      </c>
      <c r="K71" s="6">
        <f>235*0.2</f>
        <v>47</v>
      </c>
      <c r="L71" s="14">
        <f>0.11*0.2</f>
        <v>2.2000000000000002E-2</v>
      </c>
      <c r="M71" s="6">
        <v>0</v>
      </c>
      <c r="N71" s="14">
        <v>0</v>
      </c>
      <c r="O71" s="6">
        <f>1.1*0.2</f>
        <v>0.22000000000000003</v>
      </c>
      <c r="P71" s="8">
        <f>20*0.2</f>
        <v>4</v>
      </c>
      <c r="Q71" s="8">
        <f>65*0.2</f>
        <v>13</v>
      </c>
      <c r="R71" s="6">
        <f>14*0.2</f>
        <v>2.8000000000000003</v>
      </c>
      <c r="S71" s="6">
        <f>30.3*0.2</f>
        <v>6.0600000000000005</v>
      </c>
      <c r="T71" s="57"/>
    </row>
    <row r="72" spans="1:20" ht="18" customHeight="1" x14ac:dyDescent="0.35">
      <c r="A72" s="7" t="s">
        <v>2</v>
      </c>
      <c r="B72" s="39" t="s">
        <v>3</v>
      </c>
      <c r="C72" s="40"/>
      <c r="D72" s="40"/>
      <c r="E72" s="40"/>
      <c r="F72" s="41"/>
      <c r="G72" s="7">
        <v>40</v>
      </c>
      <c r="H72" s="6">
        <f>6.6*0.4</f>
        <v>2.64</v>
      </c>
      <c r="I72" s="6">
        <f>1.2*0.4</f>
        <v>0.48</v>
      </c>
      <c r="J72" s="6">
        <f>33.4*0.4</f>
        <v>13.36</v>
      </c>
      <c r="K72" s="6">
        <f>174*0.4</f>
        <v>69.600000000000009</v>
      </c>
      <c r="L72" s="14">
        <f>0.18*0.4</f>
        <v>7.1999999999999995E-2</v>
      </c>
      <c r="M72" s="6">
        <v>0</v>
      </c>
      <c r="N72" s="14">
        <v>0</v>
      </c>
      <c r="O72" s="6">
        <f>1.4*0.4</f>
        <v>0.55999999999999994</v>
      </c>
      <c r="P72" s="8">
        <f>35*0.4</f>
        <v>14</v>
      </c>
      <c r="Q72" s="8">
        <f>158*0.4</f>
        <v>63.2</v>
      </c>
      <c r="R72" s="6">
        <f>47*0.4</f>
        <v>18.8</v>
      </c>
      <c r="S72" s="6">
        <f>3.9*0.4</f>
        <v>1.56</v>
      </c>
      <c r="T72" s="57"/>
    </row>
    <row r="73" spans="1:20" ht="29.25" customHeight="1" x14ac:dyDescent="0.35">
      <c r="A73" s="7" t="s">
        <v>14</v>
      </c>
      <c r="B73" s="36" t="s">
        <v>70</v>
      </c>
      <c r="C73" s="37"/>
      <c r="D73" s="37"/>
      <c r="E73" s="37"/>
      <c r="F73" s="38"/>
      <c r="G73" s="7">
        <v>200</v>
      </c>
      <c r="H73" s="6">
        <v>0.3</v>
      </c>
      <c r="I73" s="6">
        <v>0.1</v>
      </c>
      <c r="J73" s="6">
        <v>17.2</v>
      </c>
      <c r="K73" s="6">
        <v>71</v>
      </c>
      <c r="L73" s="14">
        <v>0.01</v>
      </c>
      <c r="M73" s="6">
        <v>24</v>
      </c>
      <c r="N73" s="14">
        <v>0</v>
      </c>
      <c r="O73" s="6">
        <v>0</v>
      </c>
      <c r="P73" s="8">
        <v>11</v>
      </c>
      <c r="Q73" s="8">
        <v>10</v>
      </c>
      <c r="R73" s="6">
        <v>9</v>
      </c>
      <c r="S73" s="6">
        <v>0.4</v>
      </c>
      <c r="T73" s="57"/>
    </row>
    <row r="74" spans="1:20" ht="18" customHeight="1" x14ac:dyDescent="0.35">
      <c r="A74" s="11"/>
      <c r="B74" s="42" t="s">
        <v>29</v>
      </c>
      <c r="C74" s="42"/>
      <c r="D74" s="42"/>
      <c r="E74" s="42"/>
      <c r="F74" s="42"/>
      <c r="G74" s="33">
        <f>G73+G72+G71+G70+G69+G68</f>
        <v>660</v>
      </c>
      <c r="H74" s="19">
        <f t="shared" ref="H74:S74" si="8">SUM(H68:H73)</f>
        <v>22.117000000000001</v>
      </c>
      <c r="I74" s="19">
        <f t="shared" si="8"/>
        <v>25.104000000000003</v>
      </c>
      <c r="J74" s="19">
        <f t="shared" si="8"/>
        <v>70.236000000000004</v>
      </c>
      <c r="K74" s="19">
        <f t="shared" si="8"/>
        <v>597.85</v>
      </c>
      <c r="L74" s="20">
        <f t="shared" si="8"/>
        <v>0.45</v>
      </c>
      <c r="M74" s="19">
        <f t="shared" si="8"/>
        <v>43.484999999999999</v>
      </c>
      <c r="N74" s="20">
        <f t="shared" si="8"/>
        <v>73.284999999999997</v>
      </c>
      <c r="O74" s="19">
        <f t="shared" si="8"/>
        <v>1.9699999999999998</v>
      </c>
      <c r="P74" s="21">
        <f t="shared" si="8"/>
        <v>136.83500000000001</v>
      </c>
      <c r="Q74" s="21">
        <f t="shared" si="8"/>
        <v>419.49</v>
      </c>
      <c r="R74" s="19">
        <f t="shared" si="8"/>
        <v>108.375</v>
      </c>
      <c r="S74" s="19">
        <f t="shared" si="8"/>
        <v>10.815040000000002</v>
      </c>
      <c r="T74" s="57"/>
    </row>
    <row r="75" spans="1:20" ht="18" customHeight="1" x14ac:dyDescent="0.35">
      <c r="A75" s="44" t="s">
        <v>27</v>
      </c>
      <c r="B75" s="46"/>
      <c r="C75" s="46"/>
      <c r="D75" s="46"/>
      <c r="E75" s="46"/>
      <c r="F75" s="47"/>
      <c r="G75" s="12"/>
      <c r="H75" s="19"/>
      <c r="I75" s="19"/>
      <c r="J75" s="19"/>
      <c r="K75" s="19"/>
      <c r="L75" s="20"/>
      <c r="M75" s="19"/>
      <c r="N75" s="20"/>
      <c r="O75" s="19"/>
      <c r="P75" s="21"/>
      <c r="Q75" s="21"/>
      <c r="R75" s="19"/>
      <c r="S75" s="19"/>
      <c r="T75" s="57"/>
    </row>
    <row r="76" spans="1:20" ht="22.5" customHeight="1" x14ac:dyDescent="0.35">
      <c r="A76" s="7" t="s">
        <v>13</v>
      </c>
      <c r="B76" s="36" t="s">
        <v>77</v>
      </c>
      <c r="C76" s="48"/>
      <c r="D76" s="48"/>
      <c r="E76" s="48"/>
      <c r="F76" s="49"/>
      <c r="G76" s="23">
        <v>200</v>
      </c>
      <c r="H76" s="6">
        <v>5.8</v>
      </c>
      <c r="I76" s="6">
        <v>5</v>
      </c>
      <c r="J76" s="6">
        <v>8.4</v>
      </c>
      <c r="K76" s="6">
        <v>102</v>
      </c>
      <c r="L76" s="14">
        <v>0.04</v>
      </c>
      <c r="M76" s="6">
        <v>0.6</v>
      </c>
      <c r="N76" s="14">
        <v>40</v>
      </c>
      <c r="O76" s="6">
        <v>0</v>
      </c>
      <c r="P76" s="8">
        <f>248</f>
        <v>248</v>
      </c>
      <c r="Q76" s="8">
        <v>184</v>
      </c>
      <c r="R76" s="6">
        <v>28</v>
      </c>
      <c r="S76" s="6">
        <v>0.2</v>
      </c>
      <c r="T76" s="57"/>
    </row>
    <row r="77" spans="1:20" ht="18" customHeight="1" x14ac:dyDescent="0.35">
      <c r="A77" s="9"/>
      <c r="B77" s="42" t="s">
        <v>31</v>
      </c>
      <c r="C77" s="42"/>
      <c r="D77" s="42"/>
      <c r="E77" s="42"/>
      <c r="F77" s="42"/>
      <c r="G77" s="5"/>
      <c r="H77" s="19">
        <f t="shared" ref="H77:S77" si="9">SUM(H75:H76)</f>
        <v>5.8</v>
      </c>
      <c r="I77" s="19">
        <f t="shared" si="9"/>
        <v>5</v>
      </c>
      <c r="J77" s="19">
        <f t="shared" si="9"/>
        <v>8.4</v>
      </c>
      <c r="K77" s="19">
        <f t="shared" si="9"/>
        <v>102</v>
      </c>
      <c r="L77" s="20">
        <f t="shared" si="9"/>
        <v>0.04</v>
      </c>
      <c r="M77" s="19">
        <f t="shared" si="9"/>
        <v>0.6</v>
      </c>
      <c r="N77" s="20">
        <f t="shared" si="9"/>
        <v>40</v>
      </c>
      <c r="O77" s="19">
        <f t="shared" si="9"/>
        <v>0</v>
      </c>
      <c r="P77" s="21">
        <f t="shared" si="9"/>
        <v>248</v>
      </c>
      <c r="Q77" s="21">
        <f t="shared" si="9"/>
        <v>184</v>
      </c>
      <c r="R77" s="19">
        <f t="shared" si="9"/>
        <v>28</v>
      </c>
      <c r="S77" s="19">
        <f t="shared" si="9"/>
        <v>0.2</v>
      </c>
      <c r="T77" s="57"/>
    </row>
    <row r="78" spans="1:20" ht="18" customHeight="1" x14ac:dyDescent="0.35">
      <c r="A78" s="44" t="s">
        <v>30</v>
      </c>
      <c r="B78" s="42"/>
      <c r="C78" s="42"/>
      <c r="D78" s="42"/>
      <c r="E78" s="42"/>
      <c r="F78" s="42"/>
      <c r="G78" s="45"/>
      <c r="H78" s="19">
        <f>H77+H74+H65+H61+H53</f>
        <v>94.811692307692311</v>
      </c>
      <c r="I78" s="19">
        <f>I77+I74+I65+I61+I53</f>
        <v>97.134769230769237</v>
      </c>
      <c r="J78" s="19">
        <f>J77+J74+J65+J61+J53</f>
        <v>407.1033846153847</v>
      </c>
      <c r="K78" s="19">
        <f>K77+K74+K65+K61+K53</f>
        <v>2914.4953846153849</v>
      </c>
      <c r="L78" s="20">
        <f>L77+L74+L65+L61+L53</f>
        <v>1.2847307692307695</v>
      </c>
      <c r="M78" s="19">
        <f>M77+M74+M61+M53</f>
        <v>153.28800000000001</v>
      </c>
      <c r="N78" s="20">
        <f>N77+N74+N65+N61+N53</f>
        <v>256.97230769230771</v>
      </c>
      <c r="O78" s="19">
        <f>O77+O74+O65+O61+O53</f>
        <v>14.912692307692307</v>
      </c>
      <c r="P78" s="21">
        <f>P53+P61+P65+P74+P77</f>
        <v>1321.3684615384616</v>
      </c>
      <c r="Q78" s="21">
        <f>Q53+Q61+Q65+Q74+Q77</f>
        <v>1862.9588461538463</v>
      </c>
      <c r="R78" s="19">
        <f>R77+R74+R65+R61+R53</f>
        <v>423.15038461538455</v>
      </c>
      <c r="S78" s="19">
        <f>S77+S74+S65+S61+S53</f>
        <v>36.155116923076918</v>
      </c>
      <c r="T78" s="58"/>
    </row>
  </sheetData>
  <mergeCells count="84">
    <mergeCell ref="B76:F76"/>
    <mergeCell ref="B66:F66"/>
    <mergeCell ref="A67:F67"/>
    <mergeCell ref="A62:F62"/>
    <mergeCell ref="B61:F61"/>
    <mergeCell ref="B77:F77"/>
    <mergeCell ref="B71:F71"/>
    <mergeCell ref="B69:F69"/>
    <mergeCell ref="A78:G78"/>
    <mergeCell ref="B72:F72"/>
    <mergeCell ref="B73:F73"/>
    <mergeCell ref="B74:F74"/>
    <mergeCell ref="A75:F75"/>
    <mergeCell ref="P44:S44"/>
    <mergeCell ref="H44:J44"/>
    <mergeCell ref="K44:K45"/>
    <mergeCell ref="L44:O44"/>
    <mergeCell ref="B55:F55"/>
    <mergeCell ref="T44:T78"/>
    <mergeCell ref="B46:F46"/>
    <mergeCell ref="A47:F47"/>
    <mergeCell ref="B48:F48"/>
    <mergeCell ref="B49:F49"/>
    <mergeCell ref="B50:F50"/>
    <mergeCell ref="B51:F51"/>
    <mergeCell ref="B53:F53"/>
    <mergeCell ref="A44:A45"/>
    <mergeCell ref="G44:G45"/>
    <mergeCell ref="B34:F34"/>
    <mergeCell ref="A36:F36"/>
    <mergeCell ref="A39:G39"/>
    <mergeCell ref="T5:T39"/>
    <mergeCell ref="B22:F22"/>
    <mergeCell ref="A23:F23"/>
    <mergeCell ref="B24:F24"/>
    <mergeCell ref="B25:F25"/>
    <mergeCell ref="B7:F7"/>
    <mergeCell ref="A15:F15"/>
    <mergeCell ref="P5:S5"/>
    <mergeCell ref="B16:F16"/>
    <mergeCell ref="L5:O5"/>
    <mergeCell ref="K5:K6"/>
    <mergeCell ref="B11:F11"/>
    <mergeCell ref="B10:F10"/>
    <mergeCell ref="A8:F8"/>
    <mergeCell ref="B13:F13"/>
    <mergeCell ref="G5:G6"/>
    <mergeCell ref="H5:J5"/>
    <mergeCell ref="B9:F9"/>
    <mergeCell ref="B30:F30"/>
    <mergeCell ref="B12:F12"/>
    <mergeCell ref="A28:F28"/>
    <mergeCell ref="B17:F17"/>
    <mergeCell ref="B21:F21"/>
    <mergeCell ref="B19:F19"/>
    <mergeCell ref="B14:F14"/>
    <mergeCell ref="B18:F18"/>
    <mergeCell ref="B32:F32"/>
    <mergeCell ref="B33:F33"/>
    <mergeCell ref="B70:F70"/>
    <mergeCell ref="B56:F56"/>
    <mergeCell ref="A54:F54"/>
    <mergeCell ref="B38:F38"/>
    <mergeCell ref="B37:F37"/>
    <mergeCell ref="B63:F63"/>
    <mergeCell ref="B64:F64"/>
    <mergeCell ref="B57:F57"/>
    <mergeCell ref="B58:F58"/>
    <mergeCell ref="B52:F52"/>
    <mergeCell ref="B59:F59"/>
    <mergeCell ref="B44:F45"/>
    <mergeCell ref="B65:F65"/>
    <mergeCell ref="B68:F68"/>
    <mergeCell ref="B60:F60"/>
    <mergeCell ref="A4:C4"/>
    <mergeCell ref="A43:C43"/>
    <mergeCell ref="B29:F29"/>
    <mergeCell ref="B20:F20"/>
    <mergeCell ref="B31:F31"/>
    <mergeCell ref="B35:F35"/>
    <mergeCell ref="B27:F27"/>
    <mergeCell ref="A5:A6"/>
    <mergeCell ref="B5:F6"/>
    <mergeCell ref="B26:F26"/>
  </mergeCells>
  <pageMargins left="1.1023622047244095" right="0.19685039370078741" top="0.43307086614173229" bottom="0.39370078740157483" header="0.31496062992125984" footer="0.31496062992125984"/>
  <pageSetup paperSize="9" scale="72" orientation="landscape" r:id="rId1"/>
  <headerFooter alignWithMargins="0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usr</dc:creator>
  <cp:lastModifiedBy>Julia Efremtseva</cp:lastModifiedBy>
  <cp:revision>4</cp:revision>
  <cp:lastPrinted>2023-08-29T03:50:55Z</cp:lastPrinted>
  <dcterms:created xsi:type="dcterms:W3CDTF">2015-09-19T14:17:06Z</dcterms:created>
  <dcterms:modified xsi:type="dcterms:W3CDTF">2023-09-21T09:08:50Z</dcterms:modified>
</cp:coreProperties>
</file>