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lya\Desktop\Меню\"/>
    </mc:Choice>
  </mc:AlternateContent>
  <xr:revisionPtr revIDLastSave="0" documentId="8_{61D00504-5A3A-4138-A246-E6426170A8D4}" xr6:coauthVersionLast="47" xr6:coauthVersionMax="47" xr10:uidLastSave="{00000000-0000-0000-0000-000000000000}"/>
  <bookViews>
    <workbookView xWindow="-110" yWindow="-110" windowWidth="19420" windowHeight="10420"/>
  </bookViews>
  <sheets>
    <sheet name="6" sheetId="6" r:id="rId1"/>
  </sheets>
  <calcPr calcId="181029"/>
</workbook>
</file>

<file path=xl/calcChain.xml><?xml version="1.0" encoding="utf-8"?>
<calcChain xmlns="http://schemas.openxmlformats.org/spreadsheetml/2006/main">
  <c r="G40" i="6" l="1"/>
  <c r="G29" i="6"/>
  <c r="S28" i="6"/>
  <c r="R28" i="6"/>
  <c r="Q28" i="6"/>
  <c r="P28" i="6"/>
  <c r="O28" i="6"/>
  <c r="N28" i="6"/>
  <c r="M28" i="6"/>
  <c r="L28" i="6"/>
  <c r="K28" i="6"/>
  <c r="J28" i="6"/>
  <c r="I28" i="6"/>
  <c r="I29" i="6"/>
  <c r="H28" i="6"/>
  <c r="H29" i="6"/>
  <c r="H9" i="6"/>
  <c r="H15" i="6"/>
  <c r="I9" i="6"/>
  <c r="J9" i="6"/>
  <c r="K9" i="6"/>
  <c r="L9" i="6"/>
  <c r="L15" i="6"/>
  <c r="M9" i="6"/>
  <c r="N9" i="6"/>
  <c r="O9" i="6"/>
  <c r="P9" i="6"/>
  <c r="P15" i="6"/>
  <c r="Q9" i="6"/>
  <c r="Q15" i="6"/>
  <c r="R9" i="6"/>
  <c r="S9" i="6"/>
  <c r="S15" i="6"/>
  <c r="H10" i="6"/>
  <c r="I10" i="6"/>
  <c r="J10" i="6"/>
  <c r="K10" i="6"/>
  <c r="L10" i="6"/>
  <c r="N10" i="6"/>
  <c r="O10" i="6"/>
  <c r="P10" i="6"/>
  <c r="Q10" i="6"/>
  <c r="R10" i="6"/>
  <c r="R15" i="6"/>
  <c r="S10" i="6"/>
  <c r="H11" i="6"/>
  <c r="I11" i="6"/>
  <c r="J11" i="6"/>
  <c r="K11" i="6"/>
  <c r="L11" i="6"/>
  <c r="O11" i="6"/>
  <c r="P11" i="6"/>
  <c r="Q11" i="6"/>
  <c r="R11" i="6"/>
  <c r="S11" i="6"/>
  <c r="H12" i="6"/>
  <c r="I12" i="6"/>
  <c r="J12" i="6"/>
  <c r="K12" i="6"/>
  <c r="L12" i="6"/>
  <c r="M12" i="6"/>
  <c r="N12" i="6"/>
  <c r="N15" i="6"/>
  <c r="O12" i="6"/>
  <c r="P12" i="6"/>
  <c r="Q12" i="6"/>
  <c r="R12" i="6"/>
  <c r="S12" i="6"/>
  <c r="H13" i="6"/>
  <c r="I13" i="6"/>
  <c r="J13" i="6"/>
  <c r="K13" i="6"/>
  <c r="L13" i="6"/>
  <c r="M13" i="6"/>
  <c r="O13" i="6"/>
  <c r="P13" i="6"/>
  <c r="Q13" i="6"/>
  <c r="R13" i="6"/>
  <c r="S13" i="6"/>
  <c r="G15" i="6"/>
  <c r="H17" i="6"/>
  <c r="I17" i="6"/>
  <c r="J17" i="6"/>
  <c r="K17" i="6"/>
  <c r="L17" i="6"/>
  <c r="M17" i="6"/>
  <c r="M25" i="6"/>
  <c r="N17" i="6"/>
  <c r="O17" i="6"/>
  <c r="P17" i="6"/>
  <c r="Q17" i="6"/>
  <c r="R17" i="6"/>
  <c r="S17" i="6"/>
  <c r="H18" i="6"/>
  <c r="I18" i="6"/>
  <c r="J18" i="6"/>
  <c r="K18" i="6"/>
  <c r="L18" i="6"/>
  <c r="M18" i="6"/>
  <c r="N18" i="6"/>
  <c r="O18" i="6"/>
  <c r="O25" i="6"/>
  <c r="P18" i="6"/>
  <c r="Q18" i="6"/>
  <c r="R18" i="6"/>
  <c r="S18" i="6"/>
  <c r="H19" i="6"/>
  <c r="I19" i="6"/>
  <c r="J19" i="6"/>
  <c r="K19" i="6"/>
  <c r="L19" i="6"/>
  <c r="M19" i="6"/>
  <c r="N19" i="6"/>
  <c r="O19" i="6"/>
  <c r="P19" i="6"/>
  <c r="Q19" i="6"/>
  <c r="R19" i="6"/>
  <c r="S19" i="6"/>
  <c r="H20" i="6"/>
  <c r="I20" i="6"/>
  <c r="J20" i="6"/>
  <c r="K20" i="6"/>
  <c r="L20" i="6"/>
  <c r="M20" i="6"/>
  <c r="N20" i="6"/>
  <c r="O20" i="6"/>
  <c r="P20" i="6"/>
  <c r="Q20" i="6"/>
  <c r="R20" i="6"/>
  <c r="S20" i="6"/>
  <c r="H21" i="6"/>
  <c r="I21" i="6"/>
  <c r="J21" i="6"/>
  <c r="K21" i="6"/>
  <c r="L21" i="6"/>
  <c r="N21" i="6"/>
  <c r="O21" i="6"/>
  <c r="P21" i="6"/>
  <c r="Q21" i="6"/>
  <c r="R21" i="6"/>
  <c r="S21" i="6"/>
  <c r="H22" i="6"/>
  <c r="I22" i="6"/>
  <c r="J22" i="6"/>
  <c r="K22" i="6"/>
  <c r="L22" i="6"/>
  <c r="O22" i="6"/>
  <c r="P22" i="6"/>
  <c r="Q22" i="6"/>
  <c r="R22" i="6"/>
  <c r="S22" i="6"/>
  <c r="H23" i="6"/>
  <c r="I23" i="6"/>
  <c r="J23" i="6"/>
  <c r="K23" i="6"/>
  <c r="L23" i="6"/>
  <c r="O23" i="6"/>
  <c r="P23" i="6"/>
  <c r="Q23" i="6"/>
  <c r="Q25" i="6"/>
  <c r="R23" i="6"/>
  <c r="S23" i="6"/>
  <c r="H24" i="6"/>
  <c r="H25" i="6"/>
  <c r="I24" i="6"/>
  <c r="J24" i="6"/>
  <c r="K24" i="6"/>
  <c r="L24" i="6"/>
  <c r="P24" i="6"/>
  <c r="Q24" i="6"/>
  <c r="R24" i="6"/>
  <c r="S24" i="6"/>
  <c r="G25" i="6"/>
  <c r="J29" i="6"/>
  <c r="K29" i="6"/>
  <c r="L29" i="6"/>
  <c r="M29" i="6"/>
  <c r="N29" i="6"/>
  <c r="O29" i="6"/>
  <c r="P29" i="6"/>
  <c r="Q29" i="6"/>
  <c r="R29" i="6"/>
  <c r="S29" i="6"/>
  <c r="H32" i="6"/>
  <c r="H37" i="6"/>
  <c r="I32" i="6"/>
  <c r="I37" i="6"/>
  <c r="J32" i="6"/>
  <c r="K32" i="6"/>
  <c r="L32" i="6"/>
  <c r="M32" i="6"/>
  <c r="N32" i="6"/>
  <c r="O32" i="6"/>
  <c r="P32" i="6"/>
  <c r="Q32" i="6"/>
  <c r="R32" i="6"/>
  <c r="S32" i="6"/>
  <c r="H34" i="6"/>
  <c r="I34" i="6"/>
  <c r="J34" i="6"/>
  <c r="K34" i="6"/>
  <c r="L34" i="6"/>
  <c r="M34" i="6"/>
  <c r="N34" i="6"/>
  <c r="O34" i="6"/>
  <c r="P34" i="6"/>
  <c r="Q34" i="6"/>
  <c r="R34" i="6"/>
  <c r="S34" i="6"/>
  <c r="H35" i="6"/>
  <c r="I35" i="6"/>
  <c r="J35" i="6"/>
  <c r="K35" i="6"/>
  <c r="K37" i="6"/>
  <c r="L35" i="6"/>
  <c r="O35" i="6"/>
  <c r="P35" i="6"/>
  <c r="Q35" i="6"/>
  <c r="R35" i="6"/>
  <c r="S35" i="6"/>
  <c r="G37" i="6"/>
  <c r="H40" i="6"/>
  <c r="I40" i="6"/>
  <c r="J40" i="6"/>
  <c r="K40" i="6"/>
  <c r="L40" i="6"/>
  <c r="M40" i="6"/>
  <c r="N40" i="6"/>
  <c r="O40" i="6"/>
  <c r="P40" i="6"/>
  <c r="Q40" i="6"/>
  <c r="R40" i="6"/>
  <c r="S40" i="6"/>
  <c r="H50" i="6"/>
  <c r="I50" i="6"/>
  <c r="J50" i="6"/>
  <c r="J56" i="6"/>
  <c r="K50" i="6"/>
  <c r="L50" i="6"/>
  <c r="M50" i="6"/>
  <c r="N50" i="6"/>
  <c r="O50" i="6"/>
  <c r="P50" i="6"/>
  <c r="Q50" i="6"/>
  <c r="R50" i="6"/>
  <c r="S50" i="6"/>
  <c r="H51" i="6"/>
  <c r="H56" i="6"/>
  <c r="I51" i="6"/>
  <c r="J51" i="6"/>
  <c r="K51" i="6"/>
  <c r="L51" i="6"/>
  <c r="N51" i="6"/>
  <c r="O51" i="6"/>
  <c r="P51" i="6"/>
  <c r="Q51" i="6"/>
  <c r="R51" i="6"/>
  <c r="S51" i="6"/>
  <c r="H52" i="6"/>
  <c r="I52" i="6"/>
  <c r="J52" i="6"/>
  <c r="K52" i="6"/>
  <c r="L52" i="6"/>
  <c r="O52" i="6"/>
  <c r="P52" i="6"/>
  <c r="Q52" i="6"/>
  <c r="R52" i="6"/>
  <c r="S52" i="6"/>
  <c r="H53" i="6"/>
  <c r="I53" i="6"/>
  <c r="I56" i="6"/>
  <c r="J53" i="6"/>
  <c r="K53" i="6"/>
  <c r="L53" i="6"/>
  <c r="M53" i="6"/>
  <c r="N53" i="6"/>
  <c r="N56" i="6"/>
  <c r="O53" i="6"/>
  <c r="P53" i="6"/>
  <c r="Q53" i="6"/>
  <c r="R53" i="6"/>
  <c r="S53" i="6"/>
  <c r="H54" i="6"/>
  <c r="I54" i="6"/>
  <c r="J54" i="6"/>
  <c r="K54" i="6"/>
  <c r="L54" i="6"/>
  <c r="M54" i="6"/>
  <c r="O54" i="6"/>
  <c r="P54" i="6"/>
  <c r="Q54" i="6"/>
  <c r="R54" i="6"/>
  <c r="S54" i="6"/>
  <c r="G56" i="6"/>
  <c r="H58" i="6"/>
  <c r="I58" i="6"/>
  <c r="J58" i="6"/>
  <c r="K58" i="6"/>
  <c r="L58" i="6"/>
  <c r="L66" i="6"/>
  <c r="M58" i="6"/>
  <c r="N58" i="6"/>
  <c r="O58" i="6"/>
  <c r="P58" i="6"/>
  <c r="Q58" i="6"/>
  <c r="R58" i="6"/>
  <c r="S58" i="6"/>
  <c r="H59" i="6"/>
  <c r="I59" i="6"/>
  <c r="J59" i="6"/>
  <c r="K59" i="6"/>
  <c r="L59" i="6"/>
  <c r="M59" i="6"/>
  <c r="N59" i="6"/>
  <c r="O59" i="6"/>
  <c r="P59" i="6"/>
  <c r="Q59" i="6"/>
  <c r="R59" i="6"/>
  <c r="S59" i="6"/>
  <c r="H60" i="6"/>
  <c r="I60" i="6"/>
  <c r="J60" i="6"/>
  <c r="K60" i="6"/>
  <c r="L60" i="6"/>
  <c r="M60" i="6"/>
  <c r="N60" i="6"/>
  <c r="O60" i="6"/>
  <c r="P60" i="6"/>
  <c r="Q60" i="6"/>
  <c r="R60" i="6"/>
  <c r="S60" i="6"/>
  <c r="H61" i="6"/>
  <c r="I61" i="6"/>
  <c r="J61" i="6"/>
  <c r="K61" i="6"/>
  <c r="L61" i="6"/>
  <c r="M61" i="6"/>
  <c r="N61" i="6"/>
  <c r="O61" i="6"/>
  <c r="P61" i="6"/>
  <c r="Q61" i="6"/>
  <c r="R61" i="6"/>
  <c r="S61" i="6"/>
  <c r="H62" i="6"/>
  <c r="I62" i="6"/>
  <c r="J62" i="6"/>
  <c r="K62" i="6"/>
  <c r="L62" i="6"/>
  <c r="N62" i="6"/>
  <c r="N66" i="6"/>
  <c r="O62" i="6"/>
  <c r="P62" i="6"/>
  <c r="Q62" i="6"/>
  <c r="R62" i="6"/>
  <c r="S62" i="6"/>
  <c r="H63" i="6"/>
  <c r="I63" i="6"/>
  <c r="J63" i="6"/>
  <c r="K63" i="6"/>
  <c r="L63" i="6"/>
  <c r="O63" i="6"/>
  <c r="P63" i="6"/>
  <c r="Q63" i="6"/>
  <c r="R63" i="6"/>
  <c r="S63" i="6"/>
  <c r="H64" i="6"/>
  <c r="I64" i="6"/>
  <c r="J64" i="6"/>
  <c r="K64" i="6"/>
  <c r="L64" i="6"/>
  <c r="O64" i="6"/>
  <c r="P64" i="6"/>
  <c r="Q64" i="6"/>
  <c r="R64" i="6"/>
  <c r="S64" i="6"/>
  <c r="H65" i="6"/>
  <c r="I65" i="6"/>
  <c r="J65" i="6"/>
  <c r="K65" i="6"/>
  <c r="L65" i="6"/>
  <c r="P65" i="6"/>
  <c r="Q65" i="6"/>
  <c r="R65" i="6"/>
  <c r="S65" i="6"/>
  <c r="G66" i="6"/>
  <c r="H69" i="6"/>
  <c r="H70" i="6"/>
  <c r="I69" i="6"/>
  <c r="I70" i="6"/>
  <c r="J69" i="6"/>
  <c r="J70" i="6"/>
  <c r="K69" i="6"/>
  <c r="K70" i="6"/>
  <c r="L69" i="6"/>
  <c r="L70" i="6"/>
  <c r="M69" i="6"/>
  <c r="M70" i="6"/>
  <c r="N69" i="6"/>
  <c r="N70" i="6"/>
  <c r="O69" i="6"/>
  <c r="O70" i="6"/>
  <c r="P69" i="6"/>
  <c r="P70" i="6"/>
  <c r="Q69" i="6"/>
  <c r="R69" i="6"/>
  <c r="R70" i="6"/>
  <c r="S69" i="6"/>
  <c r="S70" i="6"/>
  <c r="G70" i="6"/>
  <c r="Q70" i="6"/>
  <c r="H73" i="6"/>
  <c r="I73" i="6"/>
  <c r="J73" i="6"/>
  <c r="K73" i="6"/>
  <c r="L73" i="6"/>
  <c r="M73" i="6"/>
  <c r="N73" i="6"/>
  <c r="O73" i="6"/>
  <c r="P73" i="6"/>
  <c r="Q73" i="6"/>
  <c r="Q78" i="6"/>
  <c r="R73" i="6"/>
  <c r="S73" i="6"/>
  <c r="S78" i="6"/>
  <c r="H75" i="6"/>
  <c r="I75" i="6"/>
  <c r="J75" i="6"/>
  <c r="J78" i="6"/>
  <c r="K75" i="6"/>
  <c r="L75" i="6"/>
  <c r="M75" i="6"/>
  <c r="N75" i="6"/>
  <c r="N78" i="6"/>
  <c r="O75" i="6"/>
  <c r="P75" i="6"/>
  <c r="Q75" i="6"/>
  <c r="R75" i="6"/>
  <c r="R78" i="6"/>
  <c r="S75" i="6"/>
  <c r="H76" i="6"/>
  <c r="I76" i="6"/>
  <c r="J76" i="6"/>
  <c r="K76" i="6"/>
  <c r="L76" i="6"/>
  <c r="O76" i="6"/>
  <c r="O78" i="6"/>
  <c r="P76" i="6"/>
  <c r="Q76" i="6"/>
  <c r="R76" i="6"/>
  <c r="S76" i="6"/>
  <c r="G78" i="6"/>
  <c r="H81" i="6"/>
  <c r="I81" i="6"/>
  <c r="J81" i="6"/>
  <c r="K81" i="6"/>
  <c r="L81" i="6"/>
  <c r="M81" i="6"/>
  <c r="N81" i="6"/>
  <c r="O81" i="6"/>
  <c r="P81" i="6"/>
  <c r="Q81" i="6"/>
  <c r="R81" i="6"/>
  <c r="S81" i="6"/>
  <c r="K15" i="6"/>
  <c r="Q56" i="6"/>
  <c r="M37" i="6"/>
  <c r="L25" i="6"/>
  <c r="L41" i="6"/>
  <c r="L37" i="6"/>
  <c r="O56" i="6"/>
  <c r="J66" i="6"/>
  <c r="S56" i="6"/>
  <c r="R37" i="6"/>
  <c r="J37" i="6"/>
  <c r="P66" i="6"/>
  <c r="H66" i="6"/>
  <c r="K25" i="6"/>
  <c r="J15" i="6"/>
  <c r="O15" i="6"/>
  <c r="M78" i="6"/>
  <c r="J25" i="6"/>
  <c r="I15" i="6"/>
  <c r="M15" i="6"/>
  <c r="P78" i="6"/>
  <c r="H78" i="6"/>
  <c r="L78" i="6"/>
  <c r="R56" i="6"/>
  <c r="N37" i="6"/>
  <c r="N41" i="6"/>
  <c r="K41" i="6"/>
  <c r="K66" i="6"/>
  <c r="P56" i="6"/>
  <c r="P82" i="6"/>
  <c r="S37" i="6"/>
  <c r="P37" i="6"/>
  <c r="O37" i="6"/>
  <c r="N82" i="6"/>
  <c r="J82" i="6"/>
  <c r="M66" i="6"/>
  <c r="P25" i="6"/>
  <c r="N25" i="6"/>
  <c r="K78" i="6"/>
  <c r="L56" i="6"/>
  <c r="L82" i="6"/>
  <c r="I78" i="6"/>
  <c r="I25" i="6"/>
  <c r="O66" i="6"/>
  <c r="O82" i="6"/>
  <c r="I41" i="6"/>
  <c r="H41" i="6"/>
  <c r="J41" i="6"/>
  <c r="H82" i="6"/>
  <c r="P41" i="6"/>
  <c r="M41" i="6"/>
  <c r="O41" i="6"/>
  <c r="I66" i="6"/>
  <c r="Q66" i="6"/>
  <c r="Q82" i="6"/>
  <c r="K56" i="6"/>
  <c r="S25" i="6"/>
  <c r="S41" i="6"/>
  <c r="S82" i="6"/>
  <c r="R66" i="6"/>
  <c r="R82" i="6"/>
  <c r="M56" i="6"/>
  <c r="M82" i="6"/>
  <c r="R25" i="6"/>
  <c r="R41" i="6"/>
  <c r="S66" i="6"/>
  <c r="Q37" i="6"/>
  <c r="Q41" i="6"/>
  <c r="I82" i="6"/>
  <c r="K82" i="6"/>
</calcChain>
</file>

<file path=xl/sharedStrings.xml><?xml version="1.0" encoding="utf-8"?>
<sst xmlns="http://schemas.openxmlformats.org/spreadsheetml/2006/main" count="178" uniqueCount="90">
  <si>
    <t>111/П`13</t>
  </si>
  <si>
    <t>109/П`13</t>
  </si>
  <si>
    <t>Хлеб ржаной</t>
  </si>
  <si>
    <t>112/П`13</t>
  </si>
  <si>
    <t>501/П`13</t>
  </si>
  <si>
    <t>108/П`13</t>
  </si>
  <si>
    <t>Батон нарезной</t>
  </si>
  <si>
    <t>Хлеб пшеничный</t>
  </si>
  <si>
    <t>Итого в Завтрак</t>
  </si>
  <si>
    <t>Итого в Обед</t>
  </si>
  <si>
    <t>Масса порции</t>
  </si>
  <si>
    <t>Витамины(мг)</t>
  </si>
  <si>
    <t>Фрикадельки из говядины, тушенные в соусе</t>
  </si>
  <si>
    <t>Пищевая вещества(г)</t>
  </si>
  <si>
    <t>Каша рисовая молочная  жидкая</t>
  </si>
  <si>
    <t>Прием пищи,наименование блюда</t>
  </si>
  <si>
    <t>Завтрак</t>
  </si>
  <si>
    <t>Обед</t>
  </si>
  <si>
    <t>№ рец</t>
  </si>
  <si>
    <t>Эн.цен</t>
  </si>
  <si>
    <t>Полдник</t>
  </si>
  <si>
    <t>Ужин</t>
  </si>
  <si>
    <t>2 Ужин</t>
  </si>
  <si>
    <t>Кофейный напиток с молоком</t>
  </si>
  <si>
    <t>Итого в Ужин</t>
  </si>
  <si>
    <t>Итого за 6 день</t>
  </si>
  <si>
    <t>Итого в 2 Ужин</t>
  </si>
  <si>
    <t>Итого в Полдник</t>
  </si>
  <si>
    <t>А</t>
  </si>
  <si>
    <t>У</t>
  </si>
  <si>
    <t>С</t>
  </si>
  <si>
    <t>Ж</t>
  </si>
  <si>
    <t>Fe</t>
  </si>
  <si>
    <t>Mg</t>
  </si>
  <si>
    <t>30</t>
  </si>
  <si>
    <t>Ca</t>
  </si>
  <si>
    <t>Е</t>
  </si>
  <si>
    <t>P</t>
  </si>
  <si>
    <t>Б</t>
  </si>
  <si>
    <t>В1</t>
  </si>
  <si>
    <t>200</t>
  </si>
  <si>
    <t>20</t>
  </si>
  <si>
    <t>50</t>
  </si>
  <si>
    <t>40</t>
  </si>
  <si>
    <t>60</t>
  </si>
  <si>
    <t>392/П`13</t>
  </si>
  <si>
    <t>Минеральные вещ-ва(мг)</t>
  </si>
  <si>
    <t>514/П`13</t>
  </si>
  <si>
    <t>151/П`13</t>
  </si>
  <si>
    <t>Уха рыбацкая</t>
  </si>
  <si>
    <t>372/П`13</t>
  </si>
  <si>
    <t>Голубцы ленивые</t>
  </si>
  <si>
    <t>448/П`13</t>
  </si>
  <si>
    <t>Соус белый основной</t>
  </si>
  <si>
    <t>Плоды свежие (киви)</t>
  </si>
  <si>
    <t>348/ДЛ`17</t>
  </si>
  <si>
    <t>268/П`13</t>
  </si>
  <si>
    <t>Компот из плодов консервированных (персики)</t>
  </si>
  <si>
    <t>590/П`13</t>
  </si>
  <si>
    <t xml:space="preserve">День: </t>
  </si>
  <si>
    <t>Неделя:</t>
  </si>
  <si>
    <t>первая</t>
  </si>
  <si>
    <t>Сезон:</t>
  </si>
  <si>
    <t>осенне-зимний</t>
  </si>
  <si>
    <t>Возрастная категория:</t>
  </si>
  <si>
    <t xml:space="preserve">7-11 ЛЕТ </t>
  </si>
  <si>
    <t>12 лет и старше</t>
  </si>
  <si>
    <t>суббота</t>
  </si>
  <si>
    <t xml:space="preserve">Суббота/ первая неделя/7-11 ЛЕТ </t>
  </si>
  <si>
    <t>Суббота/ первая неделя/ 12 лет и старше</t>
  </si>
  <si>
    <t xml:space="preserve">Печенье </t>
  </si>
  <si>
    <t>Ск 1.2.2.7</t>
  </si>
  <si>
    <t>Напиток "Снежок" 2,5 % жирности</t>
  </si>
  <si>
    <t>Компот из плодов или ягод сушеных (изюм)</t>
  </si>
  <si>
    <t>498/П`18</t>
  </si>
  <si>
    <t>Напиток брусничный</t>
  </si>
  <si>
    <t>Запеканка морковная с творогом, со сгущенным молоком</t>
  </si>
  <si>
    <t>314/481/П`13</t>
  </si>
  <si>
    <t>267/П`18</t>
  </si>
  <si>
    <t>Яйцо вареное</t>
  </si>
  <si>
    <t>183/П`18</t>
  </si>
  <si>
    <t>Запеканка картофельная с овощами</t>
  </si>
  <si>
    <t>36/П`18</t>
  </si>
  <si>
    <t>Салат из редьки с овощами</t>
  </si>
  <si>
    <t>33/П`18</t>
  </si>
  <si>
    <t>Салат из свеклы с сыром и чесноком</t>
  </si>
  <si>
    <t>105/П`13</t>
  </si>
  <si>
    <t>Масло сливочное</t>
  </si>
  <si>
    <t>5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</si>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</sst>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0.0"/>
  </numFmts>
  <fonts count="24" x14ac:knownFonts="1">
    <font>
      <sz val="11"/>
      <name val="Calibri"/>
      <charset val="1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Book Antiqua"/>
      <family val="1"/>
      <charset val="204"/>
    </font>
    <font>
      <sz val="11"/>
      <name val="Book Antiqua"/>
      <family val="1"/>
      <charset val="204"/>
    </font>
    <font>
      <sz val="12"/>
      <color indexed="8"/>
      <name val="Book Antiqua"/>
      <family val="1"/>
      <charset val="204"/>
    </font>
    <font>
      <b/>
      <sz val="12"/>
      <color indexed="8"/>
      <name val="Book Antiqua"/>
      <family val="1"/>
      <charset val="204"/>
    </font>
    <font>
      <b/>
      <sz val="12"/>
      <name val="Book Antiqua"/>
      <family val="1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  <font>
      <sz val="12"/>
      <color theme="1"/>
      <name val="Book Antiqua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4">
    <xf numFmtId="0" fontId="0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11" fillId="2" borderId="9" applyNumberFormat="0" applyAlignment="0" applyProtection="0"/>
    <xf numFmtId="0" fontId="12" fillId="10" borderId="10" applyNumberFormat="0" applyAlignment="0" applyProtection="0"/>
    <xf numFmtId="0" fontId="13" fillId="10" borderId="9" applyNumberFormat="0" applyAlignment="0" applyProtection="0"/>
    <xf numFmtId="0" fontId="14" fillId="0" borderId="11" applyNumberFormat="0" applyFill="0" applyAlignment="0" applyProtection="0"/>
    <xf numFmtId="0" fontId="15" fillId="0" borderId="12" applyNumberFormat="0" applyFill="0" applyAlignment="0" applyProtection="0"/>
    <xf numFmtId="0" fontId="16" fillId="0" borderId="13" applyNumberFormat="0" applyFill="0" applyAlignment="0" applyProtection="0"/>
    <xf numFmtId="0" fontId="16" fillId="0" borderId="0" applyNumberFormat="0" applyFill="0" applyBorder="0" applyAlignment="0" applyProtection="0"/>
    <xf numFmtId="0" fontId="3" fillId="0" borderId="14" applyNumberFormat="0" applyFill="0" applyAlignment="0" applyProtection="0"/>
    <xf numFmtId="0" fontId="4" fillId="11" borderId="15" applyNumberFormat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0" borderId="0" applyNumberFormat="0" applyFill="0" applyBorder="0" applyAlignment="0" applyProtection="0"/>
    <xf numFmtId="0" fontId="1" fillId="3" borderId="16" applyNumberFormat="0" applyFont="0" applyAlignment="0" applyProtection="0"/>
    <xf numFmtId="0" fontId="21" fillId="0" borderId="17" applyNumberFormat="0" applyFill="0" applyAlignment="0" applyProtection="0"/>
    <xf numFmtId="0" fontId="5" fillId="0" borderId="0" applyNumberFormat="0" applyFill="0" applyBorder="0" applyAlignment="0" applyProtection="0"/>
    <xf numFmtId="0" fontId="22" fillId="14" borderId="0" applyNumberFormat="0" applyBorder="0" applyAlignment="0" applyProtection="0"/>
  </cellStyleXfs>
  <cellXfs count="61">
    <xf numFmtId="0" fontId="0" fillId="0" borderId="0" xfId="0" applyNumberFormat="1" applyFont="1" applyFill="1"/>
    <xf numFmtId="180" fontId="6" fillId="0" borderId="1" xfId="0" applyNumberFormat="1" applyFont="1" applyFill="1" applyBorder="1"/>
    <xf numFmtId="0" fontId="8" fillId="0" borderId="0" xfId="0" applyNumberFormat="1" applyFont="1" applyFill="1"/>
    <xf numFmtId="180" fontId="8" fillId="0" borderId="0" xfId="0" applyNumberFormat="1" applyFont="1" applyFill="1"/>
    <xf numFmtId="1" fontId="8" fillId="0" borderId="0" xfId="0" applyNumberFormat="1" applyFont="1" applyFill="1"/>
    <xf numFmtId="0" fontId="8" fillId="0" borderId="2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/>
    </xf>
    <xf numFmtId="180" fontId="8" fillId="0" borderId="1" xfId="0" applyNumberFormat="1" applyFont="1" applyFill="1" applyBorder="1"/>
    <xf numFmtId="0" fontId="8" fillId="0" borderId="1" xfId="0" applyNumberFormat="1" applyFont="1" applyFill="1" applyBorder="1"/>
    <xf numFmtId="1" fontId="8" fillId="0" borderId="1" xfId="0" applyNumberFormat="1" applyFont="1" applyFill="1" applyBorder="1"/>
    <xf numFmtId="0" fontId="8" fillId="0" borderId="3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>
      <alignment horizontal="center"/>
    </xf>
    <xf numFmtId="0" fontId="9" fillId="0" borderId="4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right"/>
    </xf>
    <xf numFmtId="2" fontId="8" fillId="0" borderId="1" xfId="0" applyNumberFormat="1" applyFont="1" applyFill="1" applyBorder="1"/>
    <xf numFmtId="49" fontId="8" fillId="0" borderId="1" xfId="0" applyNumberFormat="1" applyFont="1" applyFill="1" applyBorder="1" applyAlignment="1">
      <alignment horizontal="right"/>
    </xf>
    <xf numFmtId="1" fontId="8" fillId="0" borderId="1" xfId="0" applyNumberFormat="1" applyFont="1" applyFill="1" applyBorder="1" applyAlignment="1">
      <alignment wrapText="1"/>
    </xf>
    <xf numFmtId="180" fontId="8" fillId="0" borderId="1" xfId="0" applyNumberFormat="1" applyFont="1" applyFill="1" applyBorder="1" applyAlignment="1">
      <alignment wrapText="1"/>
    </xf>
    <xf numFmtId="0" fontId="8" fillId="0" borderId="3" xfId="0" applyNumberFormat="1" applyFont="1" applyFill="1" applyBorder="1" applyAlignment="1"/>
    <xf numFmtId="180" fontId="9" fillId="0" borderId="1" xfId="0" applyNumberFormat="1" applyFont="1" applyFill="1" applyBorder="1"/>
    <xf numFmtId="2" fontId="9" fillId="0" borderId="1" xfId="0" applyNumberFormat="1" applyFont="1" applyFill="1" applyBorder="1"/>
    <xf numFmtId="1" fontId="9" fillId="0" borderId="1" xfId="0" applyNumberFormat="1" applyFont="1" applyFill="1" applyBorder="1"/>
    <xf numFmtId="0" fontId="9" fillId="0" borderId="1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right"/>
    </xf>
    <xf numFmtId="0" fontId="9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 vertical="center" textRotation="180"/>
    </xf>
    <xf numFmtId="2" fontId="9" fillId="0" borderId="0" xfId="0" applyNumberFormat="1" applyFont="1" applyFill="1" applyBorder="1"/>
    <xf numFmtId="0" fontId="9" fillId="0" borderId="2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wrapText="1"/>
    </xf>
    <xf numFmtId="180" fontId="10" fillId="0" borderId="1" xfId="0" applyNumberFormat="1" applyFont="1" applyFill="1" applyBorder="1"/>
    <xf numFmtId="2" fontId="23" fillId="0" borderId="1" xfId="0" applyNumberFormat="1" applyFont="1" applyFill="1" applyBorder="1"/>
    <xf numFmtId="180" fontId="23" fillId="0" borderId="1" xfId="0" applyNumberFormat="1" applyFont="1" applyFill="1" applyBorder="1"/>
    <xf numFmtId="1" fontId="8" fillId="0" borderId="1" xfId="0" applyNumberFormat="1" applyFont="1" applyFill="1" applyBorder="1" applyAlignment="1"/>
    <xf numFmtId="180" fontId="8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1" fontId="9" fillId="0" borderId="1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0" fillId="0" borderId="5" xfId="0" applyNumberFormat="1" applyFont="1" applyFill="1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7" fillId="0" borderId="5" xfId="0" applyNumberFormat="1" applyFont="1" applyFill="1" applyBorder="1" applyAlignment="1">
      <alignment horizontal="center"/>
    </xf>
    <xf numFmtId="0" fontId="7" fillId="0" borderId="4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 wrapText="1"/>
    </xf>
    <xf numFmtId="0" fontId="8" fillId="0" borderId="5" xfId="0" applyNumberFormat="1" applyFont="1" applyFill="1" applyBorder="1" applyAlignment="1">
      <alignment horizontal="center" wrapText="1"/>
    </xf>
    <xf numFmtId="0" fontId="8" fillId="0" borderId="4" xfId="0" applyNumberFormat="1" applyFont="1" applyFill="1" applyBorder="1" applyAlignment="1">
      <alignment horizontal="center" wrapText="1"/>
    </xf>
    <xf numFmtId="0" fontId="7" fillId="0" borderId="5" xfId="0" applyNumberFormat="1" applyFont="1" applyFill="1" applyBorder="1" applyAlignment="1">
      <alignment horizontal="center" wrapText="1"/>
    </xf>
    <xf numFmtId="0" fontId="7" fillId="0" borderId="4" xfId="0" applyNumberFormat="1" applyFont="1" applyFill="1" applyBorder="1" applyAlignment="1">
      <alignment horizontal="center" wrapText="1"/>
    </xf>
    <xf numFmtId="0" fontId="9" fillId="0" borderId="6" xfId="0" applyNumberFormat="1" applyFont="1" applyFill="1" applyBorder="1" applyAlignment="1">
      <alignment horizontal="center" vertical="center" textRotation="180"/>
    </xf>
    <xf numFmtId="0" fontId="9" fillId="0" borderId="8" xfId="0" applyNumberFormat="1" applyFont="1" applyFill="1" applyBorder="1" applyAlignment="1">
      <alignment horizontal="center" vertical="center" textRotation="180"/>
    </xf>
    <xf numFmtId="0" fontId="9" fillId="0" borderId="7" xfId="0" applyNumberFormat="1" applyFont="1" applyFill="1" applyBorder="1" applyAlignment="1">
      <alignment horizontal="center" vertical="center" textRotation="180"/>
    </xf>
    <xf numFmtId="0" fontId="9" fillId="0" borderId="5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>
      <alignment horizontal="center"/>
    </xf>
    <xf numFmtId="0" fontId="9" fillId="0" borderId="4" xfId="0" applyNumberFormat="1" applyFont="1" applyFill="1" applyBorder="1" applyAlignment="1">
      <alignment horizontal="center"/>
    </xf>
    <xf numFmtId="0" fontId="8" fillId="0" borderId="5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0" fontId="8" fillId="0" borderId="6" xfId="0" applyNumberFormat="1" applyFont="1" applyFill="1" applyBorder="1" applyAlignment="1">
      <alignment horizontal="center" vertical="distributed" wrapText="1"/>
    </xf>
    <xf numFmtId="0" fontId="8" fillId="0" borderId="7" xfId="0" applyNumberFormat="1" applyFont="1" applyFill="1" applyBorder="1" applyAlignment="1">
      <alignment horizontal="center" vertical="distributed" wrapText="1"/>
    </xf>
    <xf numFmtId="180" fontId="8" fillId="0" borderId="1" xfId="0" applyNumberFormat="1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>
      <alignment horizontal="left" vertical="center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T82"/>
  <sheetViews>
    <sheetView tabSelected="1" view="pageBreakPreview" topLeftCell="A48" zoomScaleNormal="100" zoomScaleSheetLayoutView="100" workbookViewId="0"/>
  </sheetViews>
  <sheetFormatPr defaultColWidth="9.1796875" defaultRowHeight="15.5" x14ac:dyDescent="0.35"/>
  <cols>
    <col min="1" max="1" width="12.1796875" style="2" customWidth="1"/>
    <col min="2" max="5" width="9.1796875" style="2"/>
    <col min="6" max="6" width="15.81640625" style="2" customWidth="1"/>
    <col min="7" max="7" width="11.81640625" style="2" customWidth="1"/>
    <col min="8" max="8" width="7.453125" style="3" customWidth="1"/>
    <col min="9" max="9" width="7" style="3" customWidth="1"/>
    <col min="10" max="10" width="9.26953125" style="3" customWidth="1"/>
    <col min="11" max="11" width="9.7265625" style="3" customWidth="1"/>
    <col min="12" max="12" width="6.26953125" style="2" customWidth="1"/>
    <col min="13" max="13" width="7.54296875" style="3" customWidth="1"/>
    <col min="14" max="14" width="7.54296875" style="2" customWidth="1"/>
    <col min="15" max="15" width="7.81640625" style="3" customWidth="1"/>
    <col min="16" max="16" width="8.81640625" style="4" customWidth="1"/>
    <col min="17" max="17" width="6.1796875" style="4" customWidth="1"/>
    <col min="18" max="18" width="7.1796875" style="4" customWidth="1"/>
    <col min="19" max="19" width="7.54296875" style="3" customWidth="1"/>
    <col min="20" max="20" width="5.453125" style="2" customWidth="1"/>
    <col min="21" max="16384" width="9.1796875" style="2"/>
  </cols>
  <sheetData>
    <row r="1" spans="1:20" x14ac:dyDescent="0.35">
      <c r="A1" s="2" t="s">
        <v>59</v>
      </c>
      <c r="B1" s="2" t="s">
        <v>67</v>
      </c>
    </row>
    <row r="2" spans="1:20" x14ac:dyDescent="0.35">
      <c r="A2" s="2" t="s">
        <v>60</v>
      </c>
      <c r="B2" s="2" t="s">
        <v>61</v>
      </c>
    </row>
    <row r="3" spans="1:20" x14ac:dyDescent="0.35">
      <c r="A3" s="2" t="s">
        <v>62</v>
      </c>
      <c r="B3" s="2" t="s">
        <v>63</v>
      </c>
    </row>
    <row r="4" spans="1:20" x14ac:dyDescent="0.35">
      <c r="A4" s="59" t="s">
        <v>64</v>
      </c>
      <c r="B4" s="60"/>
      <c r="C4" s="60"/>
      <c r="D4" s="5"/>
      <c r="E4" s="5" t="s">
        <v>65</v>
      </c>
    </row>
    <row r="5" spans="1:20" x14ac:dyDescent="0.35">
      <c r="A5" s="55" t="s">
        <v>18</v>
      </c>
      <c r="B5" s="55" t="s">
        <v>15</v>
      </c>
      <c r="C5" s="55"/>
      <c r="D5" s="55"/>
      <c r="E5" s="55"/>
      <c r="F5" s="55"/>
      <c r="G5" s="56" t="s">
        <v>10</v>
      </c>
      <c r="H5" s="58" t="s">
        <v>13</v>
      </c>
      <c r="I5" s="58"/>
      <c r="J5" s="58"/>
      <c r="K5" s="58" t="s">
        <v>19</v>
      </c>
      <c r="L5" s="55" t="s">
        <v>11</v>
      </c>
      <c r="M5" s="55"/>
      <c r="N5" s="55"/>
      <c r="O5" s="55"/>
      <c r="P5" s="55" t="s">
        <v>46</v>
      </c>
      <c r="Q5" s="55"/>
      <c r="R5" s="55"/>
      <c r="S5" s="55"/>
      <c r="T5" s="47" t="s">
        <v>68</v>
      </c>
    </row>
    <row r="6" spans="1:20" x14ac:dyDescent="0.35">
      <c r="A6" s="55"/>
      <c r="B6" s="55"/>
      <c r="C6" s="55"/>
      <c r="D6" s="55"/>
      <c r="E6" s="55"/>
      <c r="F6" s="55"/>
      <c r="G6" s="57"/>
      <c r="H6" s="7" t="s">
        <v>38</v>
      </c>
      <c r="I6" s="7" t="s">
        <v>31</v>
      </c>
      <c r="J6" s="7" t="s">
        <v>29</v>
      </c>
      <c r="K6" s="58"/>
      <c r="L6" s="8" t="s">
        <v>39</v>
      </c>
      <c r="M6" s="7" t="s">
        <v>30</v>
      </c>
      <c r="N6" s="8" t="s">
        <v>28</v>
      </c>
      <c r="O6" s="7" t="s">
        <v>36</v>
      </c>
      <c r="P6" s="9" t="s">
        <v>35</v>
      </c>
      <c r="Q6" s="9" t="s">
        <v>37</v>
      </c>
      <c r="R6" s="9" t="s">
        <v>33</v>
      </c>
      <c r="S6" s="7" t="s">
        <v>32</v>
      </c>
      <c r="T6" s="48"/>
    </row>
    <row r="7" spans="1:20" x14ac:dyDescent="0.35">
      <c r="A7" s="8">
        <v>1</v>
      </c>
      <c r="B7" s="37">
        <v>2</v>
      </c>
      <c r="C7" s="53"/>
      <c r="D7" s="53"/>
      <c r="E7" s="53"/>
      <c r="F7" s="54"/>
      <c r="G7" s="6">
        <v>3</v>
      </c>
      <c r="H7" s="11">
        <v>4</v>
      </c>
      <c r="I7" s="11">
        <v>5</v>
      </c>
      <c r="J7" s="6">
        <v>6</v>
      </c>
      <c r="K7" s="6">
        <v>7</v>
      </c>
      <c r="L7" s="6">
        <v>8</v>
      </c>
      <c r="M7" s="6">
        <v>9</v>
      </c>
      <c r="N7" s="6">
        <v>10</v>
      </c>
      <c r="O7" s="6">
        <v>11</v>
      </c>
      <c r="P7" s="6">
        <v>12</v>
      </c>
      <c r="Q7" s="6">
        <v>13</v>
      </c>
      <c r="R7" s="6">
        <v>14</v>
      </c>
      <c r="S7" s="6">
        <v>15</v>
      </c>
      <c r="T7" s="48"/>
    </row>
    <row r="8" spans="1:20" x14ac:dyDescent="0.35">
      <c r="A8" s="51" t="s">
        <v>16</v>
      </c>
      <c r="B8" s="50"/>
      <c r="C8" s="50"/>
      <c r="D8" s="50"/>
      <c r="E8" s="50"/>
      <c r="F8" s="52"/>
      <c r="G8" s="8"/>
      <c r="H8" s="7"/>
      <c r="I8" s="7"/>
      <c r="J8" s="7"/>
      <c r="K8" s="7"/>
      <c r="L8" s="8"/>
      <c r="M8" s="7"/>
      <c r="N8" s="8"/>
      <c r="O8" s="7"/>
      <c r="P8" s="9"/>
      <c r="Q8" s="9"/>
      <c r="R8" s="9"/>
      <c r="S8" s="7"/>
      <c r="T8" s="48"/>
    </row>
    <row r="9" spans="1:20" ht="18" customHeight="1" x14ac:dyDescent="0.35">
      <c r="A9" s="8" t="s">
        <v>56</v>
      </c>
      <c r="B9" s="37" t="s">
        <v>14</v>
      </c>
      <c r="C9" s="53"/>
      <c r="D9" s="53"/>
      <c r="E9" s="53"/>
      <c r="F9" s="54"/>
      <c r="G9" s="14">
        <v>200</v>
      </c>
      <c r="H9" s="7">
        <f>27.7*0.2</f>
        <v>5.54</v>
      </c>
      <c r="I9" s="7">
        <f>43.1*0.2</f>
        <v>8.620000000000001</v>
      </c>
      <c r="J9" s="7">
        <f>162*0.2</f>
        <v>32.4</v>
      </c>
      <c r="K9" s="7">
        <f>1147*0.2</f>
        <v>229.4</v>
      </c>
      <c r="L9" s="15">
        <f>0.32*0.2</f>
        <v>6.4000000000000001E-2</v>
      </c>
      <c r="M9" s="7">
        <f>7.7*0.2</f>
        <v>1.54</v>
      </c>
      <c r="N9" s="15">
        <f>0.27*0.2</f>
        <v>5.4000000000000006E-2</v>
      </c>
      <c r="O9" s="7">
        <f>0.9*0.2</f>
        <v>0.18000000000000002</v>
      </c>
      <c r="P9" s="9">
        <f>717*0.2</f>
        <v>143.4</v>
      </c>
      <c r="Q9" s="9">
        <f>759*0.2</f>
        <v>151.80000000000001</v>
      </c>
      <c r="R9" s="7">
        <f>158*0.2</f>
        <v>31.6</v>
      </c>
      <c r="S9" s="7">
        <f>2.2*0.2</f>
        <v>0.44000000000000006</v>
      </c>
      <c r="T9" s="48"/>
    </row>
    <row r="10" spans="1:20" ht="17.25" customHeight="1" x14ac:dyDescent="0.35">
      <c r="A10" s="8" t="s">
        <v>78</v>
      </c>
      <c r="B10" s="42" t="s">
        <v>79</v>
      </c>
      <c r="C10" s="43"/>
      <c r="D10" s="43"/>
      <c r="E10" s="43"/>
      <c r="F10" s="44"/>
      <c r="G10" s="16" t="s">
        <v>43</v>
      </c>
      <c r="H10" s="7">
        <f>5.1</f>
        <v>5.0999999999999996</v>
      </c>
      <c r="I10" s="7">
        <f>4.6</f>
        <v>4.5999999999999996</v>
      </c>
      <c r="J10" s="7">
        <f>0.3</f>
        <v>0.3</v>
      </c>
      <c r="K10" s="7">
        <f>63</f>
        <v>63</v>
      </c>
      <c r="L10" s="15">
        <f>0.03</f>
        <v>0.03</v>
      </c>
      <c r="M10" s="7">
        <v>0</v>
      </c>
      <c r="N10" s="15">
        <f>100.6</f>
        <v>100.6</v>
      </c>
      <c r="O10" s="7">
        <f>0.2</f>
        <v>0.2</v>
      </c>
      <c r="P10" s="17">
        <f>22.1</f>
        <v>22.1</v>
      </c>
      <c r="Q10" s="17">
        <f>77.3</f>
        <v>77.3</v>
      </c>
      <c r="R10" s="18">
        <f>7.8</f>
        <v>7.8</v>
      </c>
      <c r="S10" s="7">
        <f>1.01</f>
        <v>1.01</v>
      </c>
      <c r="T10" s="48"/>
    </row>
    <row r="11" spans="1:20" ht="20.25" customHeight="1" x14ac:dyDescent="0.35">
      <c r="A11" s="8" t="s">
        <v>0</v>
      </c>
      <c r="B11" s="37" t="s">
        <v>6</v>
      </c>
      <c r="C11" s="53"/>
      <c r="D11" s="53"/>
      <c r="E11" s="53"/>
      <c r="F11" s="54"/>
      <c r="G11" s="16" t="s">
        <v>43</v>
      </c>
      <c r="H11" s="7">
        <f>7.5*0.4</f>
        <v>3</v>
      </c>
      <c r="I11" s="7">
        <f>2.9*0.4</f>
        <v>1.1599999999999999</v>
      </c>
      <c r="J11" s="7">
        <f>51.4*0.4</f>
        <v>20.560000000000002</v>
      </c>
      <c r="K11" s="7">
        <f>262*0.4</f>
        <v>104.80000000000001</v>
      </c>
      <c r="L11" s="15">
        <f>0.11*0.4</f>
        <v>4.4000000000000004E-2</v>
      </c>
      <c r="M11" s="7">
        <v>0</v>
      </c>
      <c r="N11" s="15">
        <v>0</v>
      </c>
      <c r="O11" s="7">
        <f>1.7*0.4</f>
        <v>0.68</v>
      </c>
      <c r="P11" s="9">
        <f>19*0.4</f>
        <v>7.6000000000000005</v>
      </c>
      <c r="Q11" s="9">
        <f>65*0.4</f>
        <v>26</v>
      </c>
      <c r="R11" s="7">
        <f>13*0.4</f>
        <v>5.2</v>
      </c>
      <c r="S11" s="7">
        <f>1.2*0.4</f>
        <v>0.48</v>
      </c>
      <c r="T11" s="48"/>
    </row>
    <row r="12" spans="1:20" ht="20.25" customHeight="1" x14ac:dyDescent="0.35">
      <c r="A12" s="8" t="s">
        <v>86</v>
      </c>
      <c r="B12" s="37" t="s">
        <v>87</v>
      </c>
      <c r="C12" s="38"/>
      <c r="D12" s="38"/>
      <c r="E12" s="38"/>
      <c r="F12" s="39"/>
      <c r="G12" s="16" t="s">
        <v>88</v>
      </c>
      <c r="H12" s="7">
        <f>0.5*0.05</f>
        <v>2.5000000000000001E-2</v>
      </c>
      <c r="I12" s="7">
        <f>82.5*0.05</f>
        <v>4.125</v>
      </c>
      <c r="J12" s="7">
        <f>0.8*0.05</f>
        <v>4.0000000000000008E-2</v>
      </c>
      <c r="K12" s="7">
        <f>748*0.05</f>
        <v>37.4</v>
      </c>
      <c r="L12" s="15">
        <f>0</f>
        <v>0</v>
      </c>
      <c r="M12" s="7">
        <f>0</f>
        <v>0</v>
      </c>
      <c r="N12" s="15">
        <f>0.59*0.05</f>
        <v>2.9499999999999998E-2</v>
      </c>
      <c r="O12" s="7">
        <f>1*0.05</f>
        <v>0.05</v>
      </c>
      <c r="P12" s="9">
        <f>12*0.05</f>
        <v>0.60000000000000009</v>
      </c>
      <c r="Q12" s="9">
        <f>19*0.05</f>
        <v>0.95000000000000007</v>
      </c>
      <c r="R12" s="7">
        <f>0</f>
        <v>0</v>
      </c>
      <c r="S12" s="7">
        <f>0.2*0.05</f>
        <v>1.0000000000000002E-2</v>
      </c>
      <c r="T12" s="48"/>
    </row>
    <row r="13" spans="1:20" ht="17.25" customHeight="1" x14ac:dyDescent="0.35">
      <c r="A13" s="8" t="s">
        <v>3</v>
      </c>
      <c r="B13" s="37" t="s">
        <v>54</v>
      </c>
      <c r="C13" s="53"/>
      <c r="D13" s="53"/>
      <c r="E13" s="53"/>
      <c r="F13" s="54"/>
      <c r="G13" s="16" t="s">
        <v>40</v>
      </c>
      <c r="H13" s="7">
        <f>0.8*2</f>
        <v>1.6</v>
      </c>
      <c r="I13" s="7">
        <f>0.4*2</f>
        <v>0.8</v>
      </c>
      <c r="J13" s="7">
        <f>8.1*2</f>
        <v>16.2</v>
      </c>
      <c r="K13" s="7">
        <f>47*2</f>
        <v>94</v>
      </c>
      <c r="L13" s="15">
        <f>0.04*2</f>
        <v>0.08</v>
      </c>
      <c r="M13" s="1">
        <f>180*2</f>
        <v>360</v>
      </c>
      <c r="N13" s="15">
        <v>0</v>
      </c>
      <c r="O13" s="7">
        <f>0.4*2</f>
        <v>0.8</v>
      </c>
      <c r="P13" s="17">
        <f>8*2</f>
        <v>16</v>
      </c>
      <c r="Q13" s="17">
        <f>28*2</f>
        <v>56</v>
      </c>
      <c r="R13" s="18">
        <f>42*2</f>
        <v>84</v>
      </c>
      <c r="S13" s="7">
        <f>0.6*2</f>
        <v>1.2</v>
      </c>
      <c r="T13" s="48"/>
    </row>
    <row r="14" spans="1:20" ht="15.75" customHeight="1" x14ac:dyDescent="0.35">
      <c r="A14" s="8" t="s">
        <v>4</v>
      </c>
      <c r="B14" s="37" t="s">
        <v>23</v>
      </c>
      <c r="C14" s="53"/>
      <c r="D14" s="53"/>
      <c r="E14" s="53"/>
      <c r="F14" s="54"/>
      <c r="G14" s="14">
        <v>200</v>
      </c>
      <c r="H14" s="7">
        <v>3.2</v>
      </c>
      <c r="I14" s="7">
        <v>2.7</v>
      </c>
      <c r="J14" s="7">
        <v>15.9</v>
      </c>
      <c r="K14" s="7">
        <v>79</v>
      </c>
      <c r="L14" s="15">
        <v>0.04</v>
      </c>
      <c r="M14" s="7">
        <v>1.3</v>
      </c>
      <c r="N14" s="15">
        <v>0.02</v>
      </c>
      <c r="O14" s="7">
        <v>0</v>
      </c>
      <c r="P14" s="9">
        <v>126</v>
      </c>
      <c r="Q14" s="9">
        <v>90</v>
      </c>
      <c r="R14" s="7">
        <v>14</v>
      </c>
      <c r="S14" s="7">
        <v>0.1</v>
      </c>
      <c r="T14" s="48"/>
    </row>
    <row r="15" spans="1:20" x14ac:dyDescent="0.35">
      <c r="A15" s="19"/>
      <c r="B15" s="50" t="s">
        <v>8</v>
      </c>
      <c r="C15" s="50"/>
      <c r="D15" s="50"/>
      <c r="E15" s="50"/>
      <c r="F15" s="52"/>
      <c r="G15" s="36">
        <f>G14+G13+G12+G11+G10+G9</f>
        <v>685</v>
      </c>
      <c r="H15" s="30">
        <f t="shared" ref="H15:S15" si="0">SUM(H9:H14)</f>
        <v>18.465</v>
      </c>
      <c r="I15" s="30">
        <f t="shared" si="0"/>
        <v>22.005000000000003</v>
      </c>
      <c r="J15" s="30">
        <f t="shared" si="0"/>
        <v>85.4</v>
      </c>
      <c r="K15" s="30">
        <f t="shared" si="0"/>
        <v>607.59999999999991</v>
      </c>
      <c r="L15" s="21">
        <f t="shared" si="0"/>
        <v>0.25800000000000001</v>
      </c>
      <c r="M15" s="20">
        <f t="shared" si="0"/>
        <v>362.84000000000003</v>
      </c>
      <c r="N15" s="21">
        <f t="shared" si="0"/>
        <v>100.70349999999999</v>
      </c>
      <c r="O15" s="20">
        <f t="shared" si="0"/>
        <v>1.9100000000000001</v>
      </c>
      <c r="P15" s="22">
        <f t="shared" si="0"/>
        <v>315.7</v>
      </c>
      <c r="Q15" s="22">
        <f t="shared" si="0"/>
        <v>402.05</v>
      </c>
      <c r="R15" s="20">
        <f t="shared" si="0"/>
        <v>142.6</v>
      </c>
      <c r="S15" s="20">
        <f t="shared" si="0"/>
        <v>3.24</v>
      </c>
      <c r="T15" s="48"/>
    </row>
    <row r="16" spans="1:20" x14ac:dyDescent="0.35">
      <c r="A16" s="51" t="s">
        <v>17</v>
      </c>
      <c r="B16" s="50"/>
      <c r="C16" s="50"/>
      <c r="D16" s="50"/>
      <c r="E16" s="50"/>
      <c r="F16" s="52"/>
      <c r="G16" s="14"/>
      <c r="H16" s="7"/>
      <c r="I16" s="7"/>
      <c r="J16" s="7"/>
      <c r="K16" s="7"/>
      <c r="L16" s="15"/>
      <c r="M16" s="7"/>
      <c r="N16" s="15"/>
      <c r="O16" s="7"/>
      <c r="P16" s="9"/>
      <c r="Q16" s="9"/>
      <c r="R16" s="7"/>
      <c r="S16" s="7"/>
      <c r="T16" s="48"/>
    </row>
    <row r="17" spans="1:20" ht="17.25" customHeight="1" x14ac:dyDescent="0.35">
      <c r="A17" s="29" t="s">
        <v>84</v>
      </c>
      <c r="B17" s="42" t="s">
        <v>85</v>
      </c>
      <c r="C17" s="43"/>
      <c r="D17" s="43"/>
      <c r="E17" s="43"/>
      <c r="F17" s="44"/>
      <c r="G17" s="14">
        <v>100</v>
      </c>
      <c r="H17" s="7">
        <f>4.8</f>
        <v>4.8</v>
      </c>
      <c r="I17" s="7">
        <f>10.7</f>
        <v>10.7</v>
      </c>
      <c r="J17" s="7">
        <f>6.5</f>
        <v>6.5</v>
      </c>
      <c r="K17" s="7">
        <f>141</f>
        <v>141</v>
      </c>
      <c r="L17" s="15">
        <f>0.02</f>
        <v>0.02</v>
      </c>
      <c r="M17" s="7">
        <f>4.6</f>
        <v>4.5999999999999996</v>
      </c>
      <c r="N17" s="15">
        <f>40.3</f>
        <v>40.299999999999997</v>
      </c>
      <c r="O17" s="7">
        <f>4.5</f>
        <v>4.5</v>
      </c>
      <c r="P17" s="9">
        <f>166.6</f>
        <v>166.6</v>
      </c>
      <c r="Q17" s="9">
        <f>110.5</f>
        <v>110.5</v>
      </c>
      <c r="R17" s="7">
        <f>22</f>
        <v>22</v>
      </c>
      <c r="S17" s="7">
        <f>1.25</f>
        <v>1.25</v>
      </c>
      <c r="T17" s="48"/>
    </row>
    <row r="18" spans="1:20" ht="21" customHeight="1" x14ac:dyDescent="0.35">
      <c r="A18" s="8" t="s">
        <v>48</v>
      </c>
      <c r="B18" s="42" t="s">
        <v>49</v>
      </c>
      <c r="C18" s="43"/>
      <c r="D18" s="43"/>
      <c r="E18" s="43"/>
      <c r="F18" s="44"/>
      <c r="G18" s="14">
        <v>200</v>
      </c>
      <c r="H18" s="7">
        <f>24.6*0.2</f>
        <v>4.9200000000000008</v>
      </c>
      <c r="I18" s="7">
        <f>9.8*0.2</f>
        <v>1.9600000000000002</v>
      </c>
      <c r="J18" s="7">
        <f>42.7*0.2</f>
        <v>8.5400000000000009</v>
      </c>
      <c r="K18" s="7">
        <f>363*0.2</f>
        <v>72.600000000000009</v>
      </c>
      <c r="L18" s="15">
        <f>0.45*0.2</f>
        <v>9.0000000000000011E-2</v>
      </c>
      <c r="M18" s="7">
        <f>45.7*0.2</f>
        <v>9.14</v>
      </c>
      <c r="N18" s="15">
        <f>0.09*0.2</f>
        <v>1.7999999999999999E-2</v>
      </c>
      <c r="O18" s="7">
        <f>1.9*0.2</f>
        <v>0.38</v>
      </c>
      <c r="P18" s="9">
        <f>126*0.2</f>
        <v>25.200000000000003</v>
      </c>
      <c r="Q18" s="9">
        <f>476*0.2</f>
        <v>95.2</v>
      </c>
      <c r="R18" s="7">
        <f>129*0.2</f>
        <v>25.8</v>
      </c>
      <c r="S18" s="7">
        <f>4.1*0.2</f>
        <v>0.82</v>
      </c>
      <c r="T18" s="48"/>
    </row>
    <row r="19" spans="1:20" ht="15.75" customHeight="1" x14ac:dyDescent="0.35">
      <c r="A19" s="8" t="s">
        <v>50</v>
      </c>
      <c r="B19" s="42" t="s">
        <v>51</v>
      </c>
      <c r="C19" s="43"/>
      <c r="D19" s="43"/>
      <c r="E19" s="43"/>
      <c r="F19" s="44"/>
      <c r="G19" s="14">
        <v>150</v>
      </c>
      <c r="H19" s="7">
        <f>8.5*1.5</f>
        <v>12.75</v>
      </c>
      <c r="I19" s="7">
        <f>8.3*1.5</f>
        <v>12.450000000000001</v>
      </c>
      <c r="J19" s="7">
        <f>4*1.5</f>
        <v>6</v>
      </c>
      <c r="K19" s="7">
        <f>125*1.5</f>
        <v>187.5</v>
      </c>
      <c r="L19" s="15">
        <f>0.04*1.5</f>
        <v>0.06</v>
      </c>
      <c r="M19" s="7">
        <f>12.4*1.5</f>
        <v>18.600000000000001</v>
      </c>
      <c r="N19" s="15">
        <f>0.02*1.5</f>
        <v>0.03</v>
      </c>
      <c r="O19" s="7">
        <f>0.3*1.5</f>
        <v>0.44999999999999996</v>
      </c>
      <c r="P19" s="9">
        <f>34*1.5</f>
        <v>51</v>
      </c>
      <c r="Q19" s="9">
        <f>103*1.5</f>
        <v>154.5</v>
      </c>
      <c r="R19" s="7">
        <f>21*1.5</f>
        <v>31.5</v>
      </c>
      <c r="S19" s="7">
        <f>1.5*1.5</f>
        <v>2.25</v>
      </c>
      <c r="T19" s="48"/>
    </row>
    <row r="20" spans="1:20" ht="15.75" customHeight="1" x14ac:dyDescent="0.35">
      <c r="A20" s="8" t="s">
        <v>52</v>
      </c>
      <c r="B20" s="42" t="s">
        <v>53</v>
      </c>
      <c r="C20" s="45"/>
      <c r="D20" s="45"/>
      <c r="E20" s="45"/>
      <c r="F20" s="46"/>
      <c r="G20" s="24">
        <v>50</v>
      </c>
      <c r="H20" s="7">
        <f>12.4*0.05</f>
        <v>0.62000000000000011</v>
      </c>
      <c r="I20" s="7">
        <f>40.4*0.05</f>
        <v>2.02</v>
      </c>
      <c r="J20" s="7">
        <f>58.8*0.05</f>
        <v>2.94</v>
      </c>
      <c r="K20" s="7">
        <f>648*0.05</f>
        <v>32.4</v>
      </c>
      <c r="L20" s="15">
        <f>0.11*0.05</f>
        <v>5.5000000000000005E-3</v>
      </c>
      <c r="M20" s="7">
        <f>7.4*0.05</f>
        <v>0.37000000000000005</v>
      </c>
      <c r="N20" s="15">
        <f>0.29*0.05</f>
        <v>1.4499999999999999E-2</v>
      </c>
      <c r="O20" s="7">
        <f>1.4*0.05</f>
        <v>6.9999999999999993E-2</v>
      </c>
      <c r="P20" s="9">
        <f>55*0.05</f>
        <v>2.75</v>
      </c>
      <c r="Q20" s="9">
        <f>160*0.05</f>
        <v>8</v>
      </c>
      <c r="R20" s="7">
        <f>34*0.05</f>
        <v>1.7000000000000002</v>
      </c>
      <c r="S20" s="7">
        <f>1.4*0.05</f>
        <v>6.9999999999999993E-2</v>
      </c>
      <c r="T20" s="48"/>
    </row>
    <row r="21" spans="1:20" ht="17.25" customHeight="1" x14ac:dyDescent="0.35">
      <c r="A21" s="8" t="s">
        <v>58</v>
      </c>
      <c r="B21" s="42" t="s">
        <v>70</v>
      </c>
      <c r="C21" s="43"/>
      <c r="D21" s="43"/>
      <c r="E21" s="43"/>
      <c r="F21" s="44"/>
      <c r="G21" s="16" t="s">
        <v>34</v>
      </c>
      <c r="H21" s="7">
        <f>7.5*0.3</f>
        <v>2.25</v>
      </c>
      <c r="I21" s="7">
        <f>9.8*0.3</f>
        <v>2.94</v>
      </c>
      <c r="J21" s="7">
        <f>74.4*0.3</f>
        <v>22.32</v>
      </c>
      <c r="K21" s="7">
        <f>417*0.3</f>
        <v>125.1</v>
      </c>
      <c r="L21" s="15">
        <f>0.08*0.3</f>
        <v>2.4E-2</v>
      </c>
      <c r="M21" s="7">
        <v>0</v>
      </c>
      <c r="N21" s="15">
        <f>0.01*0.3</f>
        <v>3.0000000000000001E-3</v>
      </c>
      <c r="O21" s="7">
        <f>3.5*0.3</f>
        <v>1.05</v>
      </c>
      <c r="P21" s="9">
        <f>29*0.3</f>
        <v>8.6999999999999993</v>
      </c>
      <c r="Q21" s="9">
        <f>90*0.3</f>
        <v>27</v>
      </c>
      <c r="R21" s="7">
        <f>20*0.3</f>
        <v>6</v>
      </c>
      <c r="S21" s="7">
        <f>2.1*0.3</f>
        <v>0.63</v>
      </c>
      <c r="T21" s="48"/>
    </row>
    <row r="22" spans="1:20" x14ac:dyDescent="0.35">
      <c r="A22" s="8" t="s">
        <v>5</v>
      </c>
      <c r="B22" s="37" t="s">
        <v>7</v>
      </c>
      <c r="C22" s="40"/>
      <c r="D22" s="40"/>
      <c r="E22" s="40"/>
      <c r="F22" s="41"/>
      <c r="G22" s="16" t="s">
        <v>42</v>
      </c>
      <c r="H22" s="7">
        <f>7.6*0.5</f>
        <v>3.8</v>
      </c>
      <c r="I22" s="7">
        <f>0.8*0.5</f>
        <v>0.4</v>
      </c>
      <c r="J22" s="7">
        <f>49.2*0.5</f>
        <v>24.6</v>
      </c>
      <c r="K22" s="7">
        <f>235*0.5</f>
        <v>117.5</v>
      </c>
      <c r="L22" s="15">
        <f>0.11*0.5</f>
        <v>5.5E-2</v>
      </c>
      <c r="M22" s="7">
        <v>0</v>
      </c>
      <c r="N22" s="15">
        <v>0</v>
      </c>
      <c r="O22" s="7">
        <f>1.1*0.5</f>
        <v>0.55000000000000004</v>
      </c>
      <c r="P22" s="9">
        <f>20*0.5</f>
        <v>10</v>
      </c>
      <c r="Q22" s="9">
        <f>65*0.5</f>
        <v>32.5</v>
      </c>
      <c r="R22" s="7">
        <f>14*0.5</f>
        <v>7</v>
      </c>
      <c r="S22" s="7">
        <f>1.1*0.5</f>
        <v>0.55000000000000004</v>
      </c>
      <c r="T22" s="48"/>
    </row>
    <row r="23" spans="1:20" x14ac:dyDescent="0.35">
      <c r="A23" s="8" t="s">
        <v>1</v>
      </c>
      <c r="B23" s="37" t="s">
        <v>2</v>
      </c>
      <c r="C23" s="53"/>
      <c r="D23" s="53"/>
      <c r="E23" s="53"/>
      <c r="F23" s="54"/>
      <c r="G23" s="14">
        <v>50</v>
      </c>
      <c r="H23" s="7">
        <f>6.6*0.5</f>
        <v>3.3</v>
      </c>
      <c r="I23" s="7">
        <f>1.2*0.5</f>
        <v>0.6</v>
      </c>
      <c r="J23" s="7">
        <f>33.4*0.5</f>
        <v>16.7</v>
      </c>
      <c r="K23" s="7">
        <f>174*0.5</f>
        <v>87</v>
      </c>
      <c r="L23" s="15">
        <f>0.18*0.5</f>
        <v>0.09</v>
      </c>
      <c r="M23" s="7">
        <v>0</v>
      </c>
      <c r="N23" s="15">
        <v>0</v>
      </c>
      <c r="O23" s="7">
        <f>1.4*0.5</f>
        <v>0.7</v>
      </c>
      <c r="P23" s="9">
        <f>35*0.5</f>
        <v>17.5</v>
      </c>
      <c r="Q23" s="9">
        <f>158*0.5</f>
        <v>79</v>
      </c>
      <c r="R23" s="7">
        <f>47*0.5</f>
        <v>23.5</v>
      </c>
      <c r="S23" s="7">
        <f>3.9*0.5</f>
        <v>1.95</v>
      </c>
      <c r="T23" s="48"/>
    </row>
    <row r="24" spans="1:20" ht="19.5" customHeight="1" x14ac:dyDescent="0.35">
      <c r="A24" s="8" t="s">
        <v>55</v>
      </c>
      <c r="B24" s="37" t="s">
        <v>73</v>
      </c>
      <c r="C24" s="53"/>
      <c r="D24" s="53"/>
      <c r="E24" s="53"/>
      <c r="F24" s="54"/>
      <c r="G24" s="8">
        <v>200</v>
      </c>
      <c r="H24" s="7">
        <f>1.73*0.2</f>
        <v>0.34600000000000003</v>
      </c>
      <c r="I24" s="7">
        <f>0.38*0.1</f>
        <v>3.8000000000000006E-2</v>
      </c>
      <c r="J24" s="7">
        <f>149.25*0.2</f>
        <v>29.85</v>
      </c>
      <c r="K24" s="7">
        <f>611*0.2</f>
        <v>122.2</v>
      </c>
      <c r="L24" s="15">
        <f>0.11*0.2</f>
        <v>2.2000000000000002E-2</v>
      </c>
      <c r="M24" s="7">
        <v>0</v>
      </c>
      <c r="N24" s="15">
        <v>0</v>
      </c>
      <c r="O24" s="7">
        <v>0</v>
      </c>
      <c r="P24" s="9">
        <f>101.6*0.2</f>
        <v>20.32</v>
      </c>
      <c r="Q24" s="9">
        <f>96.8*0.2</f>
        <v>19.36</v>
      </c>
      <c r="R24" s="7">
        <f>40.6*0.2</f>
        <v>8.120000000000001</v>
      </c>
      <c r="S24" s="7">
        <f>2.25*0.2</f>
        <v>0.45</v>
      </c>
      <c r="T24" s="48"/>
    </row>
    <row r="25" spans="1:20" x14ac:dyDescent="0.35">
      <c r="A25" s="12"/>
      <c r="B25" s="50" t="s">
        <v>9</v>
      </c>
      <c r="C25" s="50"/>
      <c r="D25" s="50"/>
      <c r="E25" s="50"/>
      <c r="F25" s="50"/>
      <c r="G25" s="35">
        <f>G24+G23+G22+G21+G20+G19+G18+G17</f>
        <v>830</v>
      </c>
      <c r="H25" s="20">
        <f t="shared" ref="H25:S25" si="1">SUM(H17:H24)</f>
        <v>32.785999999999994</v>
      </c>
      <c r="I25" s="20">
        <f t="shared" si="1"/>
        <v>31.108000000000001</v>
      </c>
      <c r="J25" s="20">
        <f t="shared" si="1"/>
        <v>117.45000000000002</v>
      </c>
      <c r="K25" s="20">
        <f t="shared" si="1"/>
        <v>885.30000000000007</v>
      </c>
      <c r="L25" s="21">
        <f t="shared" si="1"/>
        <v>0.36650000000000005</v>
      </c>
      <c r="M25" s="20">
        <f t="shared" si="1"/>
        <v>32.71</v>
      </c>
      <c r="N25" s="21">
        <f t="shared" si="1"/>
        <v>40.365499999999997</v>
      </c>
      <c r="O25" s="20">
        <f t="shared" si="1"/>
        <v>7.7</v>
      </c>
      <c r="P25" s="22">
        <f t="shared" si="1"/>
        <v>302.07</v>
      </c>
      <c r="Q25" s="22">
        <f t="shared" si="1"/>
        <v>526.05999999999995</v>
      </c>
      <c r="R25" s="20">
        <f t="shared" si="1"/>
        <v>125.62</v>
      </c>
      <c r="S25" s="20">
        <f t="shared" si="1"/>
        <v>7.9700000000000006</v>
      </c>
      <c r="T25" s="48"/>
    </row>
    <row r="26" spans="1:20" x14ac:dyDescent="0.35">
      <c r="A26" s="51" t="s">
        <v>20</v>
      </c>
      <c r="B26" s="40"/>
      <c r="C26" s="40"/>
      <c r="D26" s="40"/>
      <c r="E26" s="40"/>
      <c r="F26" s="41"/>
      <c r="G26" s="13"/>
      <c r="H26" s="20"/>
      <c r="I26" s="20"/>
      <c r="J26" s="20"/>
      <c r="K26" s="20"/>
      <c r="L26" s="21"/>
      <c r="M26" s="20"/>
      <c r="N26" s="21"/>
      <c r="O26" s="20"/>
      <c r="P26" s="22"/>
      <c r="Q26" s="22"/>
      <c r="R26" s="20"/>
      <c r="S26" s="20"/>
      <c r="T26" s="48"/>
    </row>
    <row r="27" spans="1:20" ht="27.75" customHeight="1" x14ac:dyDescent="0.35">
      <c r="A27" s="8" t="s">
        <v>74</v>
      </c>
      <c r="B27" s="37" t="s">
        <v>75</v>
      </c>
      <c r="C27" s="53"/>
      <c r="D27" s="53"/>
      <c r="E27" s="53"/>
      <c r="F27" s="54"/>
      <c r="G27" s="8">
        <v>200</v>
      </c>
      <c r="H27" s="7">
        <v>0.1</v>
      </c>
      <c r="I27" s="7">
        <v>0.1</v>
      </c>
      <c r="J27" s="7">
        <v>10.9</v>
      </c>
      <c r="K27" s="7">
        <v>45</v>
      </c>
      <c r="L27" s="15">
        <v>0</v>
      </c>
      <c r="M27" s="7">
        <v>0.7</v>
      </c>
      <c r="N27" s="15">
        <v>0</v>
      </c>
      <c r="O27" s="7">
        <v>0.2</v>
      </c>
      <c r="P27" s="9">
        <v>5.4</v>
      </c>
      <c r="Q27" s="9">
        <v>3</v>
      </c>
      <c r="R27" s="7">
        <v>1.3</v>
      </c>
      <c r="S27" s="7">
        <v>0.11</v>
      </c>
      <c r="T27" s="48"/>
    </row>
    <row r="28" spans="1:20" ht="34.5" customHeight="1" x14ac:dyDescent="0.35">
      <c r="A28" s="8" t="s">
        <v>77</v>
      </c>
      <c r="B28" s="42" t="s">
        <v>76</v>
      </c>
      <c r="C28" s="43"/>
      <c r="D28" s="43"/>
      <c r="E28" s="43"/>
      <c r="F28" s="44"/>
      <c r="G28" s="24">
        <v>150</v>
      </c>
      <c r="H28" s="7">
        <f>13.1*120/150+72*0.03</f>
        <v>12.64</v>
      </c>
      <c r="I28" s="7">
        <f>15.6*120/150+85*0.03</f>
        <v>15.030000000000001</v>
      </c>
      <c r="J28" s="7">
        <f>27.3*120/150+555*0.03</f>
        <v>38.489999999999995</v>
      </c>
      <c r="K28" s="7">
        <f>290*120/150+3280*0.03</f>
        <v>330.4</v>
      </c>
      <c r="L28" s="15">
        <f>0.11*120/150+0.6*0.03</f>
        <v>0.106</v>
      </c>
      <c r="M28" s="7">
        <f>2.4*120/150+10*0.03</f>
        <v>2.2199999999999998</v>
      </c>
      <c r="N28" s="15">
        <f>0.1*120/150+0.42*0.03</f>
        <v>9.2600000000000002E-2</v>
      </c>
      <c r="O28" s="7">
        <f>0.1*120/150+2*0.03</f>
        <v>0.14000000000000001</v>
      </c>
      <c r="P28" s="9">
        <f>146*120/150+3070*0.033</f>
        <v>218.11</v>
      </c>
      <c r="Q28" s="9">
        <f>216*120/150+2190*0.03</f>
        <v>238.5</v>
      </c>
      <c r="R28" s="7">
        <f>53*120/150+340*0.03</f>
        <v>52.599999999999994</v>
      </c>
      <c r="S28" s="7">
        <f>1.4*120/150+2*0.03</f>
        <v>1.1800000000000002</v>
      </c>
      <c r="T28" s="48"/>
    </row>
    <row r="29" spans="1:20" x14ac:dyDescent="0.35">
      <c r="A29" s="12"/>
      <c r="B29" s="51"/>
      <c r="C29" s="50"/>
      <c r="D29" s="50"/>
      <c r="E29" s="50"/>
      <c r="F29" s="52"/>
      <c r="G29" s="13">
        <f>G28+G27</f>
        <v>350</v>
      </c>
      <c r="H29" s="20">
        <f t="shared" ref="H29:S29" si="2">SUM(H27:H28)</f>
        <v>12.74</v>
      </c>
      <c r="I29" s="20">
        <f t="shared" si="2"/>
        <v>15.13</v>
      </c>
      <c r="J29" s="20">
        <f t="shared" si="2"/>
        <v>49.389999999999993</v>
      </c>
      <c r="K29" s="20">
        <f t="shared" si="2"/>
        <v>375.4</v>
      </c>
      <c r="L29" s="21">
        <f t="shared" si="2"/>
        <v>0.106</v>
      </c>
      <c r="M29" s="20">
        <f t="shared" si="2"/>
        <v>2.92</v>
      </c>
      <c r="N29" s="21">
        <f t="shared" si="2"/>
        <v>9.2600000000000002E-2</v>
      </c>
      <c r="O29" s="20">
        <f t="shared" si="2"/>
        <v>0.34</v>
      </c>
      <c r="P29" s="22">
        <f t="shared" si="2"/>
        <v>223.51000000000002</v>
      </c>
      <c r="Q29" s="22">
        <f t="shared" si="2"/>
        <v>241.5</v>
      </c>
      <c r="R29" s="20">
        <f t="shared" si="2"/>
        <v>53.899999999999991</v>
      </c>
      <c r="S29" s="20">
        <f t="shared" si="2"/>
        <v>1.2900000000000003</v>
      </c>
      <c r="T29" s="48"/>
    </row>
    <row r="30" spans="1:20" x14ac:dyDescent="0.35">
      <c r="A30" s="12"/>
      <c r="B30" s="50" t="s">
        <v>27</v>
      </c>
      <c r="C30" s="50"/>
      <c r="D30" s="50"/>
      <c r="E30" s="50"/>
      <c r="F30" s="50"/>
      <c r="G30" s="23"/>
      <c r="H30" s="20"/>
      <c r="I30" s="20"/>
      <c r="J30" s="20"/>
      <c r="K30" s="20"/>
      <c r="L30" s="21"/>
      <c r="M30" s="20"/>
      <c r="N30" s="21"/>
      <c r="O30" s="20"/>
      <c r="P30" s="22"/>
      <c r="Q30" s="22"/>
      <c r="R30" s="20"/>
      <c r="S30" s="20"/>
      <c r="T30" s="48"/>
    </row>
    <row r="31" spans="1:20" x14ac:dyDescent="0.35">
      <c r="A31" s="51" t="s">
        <v>21</v>
      </c>
      <c r="B31" s="40"/>
      <c r="C31" s="40"/>
      <c r="D31" s="40"/>
      <c r="E31" s="40"/>
      <c r="F31" s="41"/>
      <c r="G31" s="13"/>
      <c r="H31" s="20"/>
      <c r="I31" s="20"/>
      <c r="J31" s="20"/>
      <c r="K31" s="20"/>
      <c r="L31" s="21"/>
      <c r="M31" s="20"/>
      <c r="N31" s="21"/>
      <c r="O31" s="20"/>
      <c r="P31" s="22"/>
      <c r="Q31" s="22"/>
      <c r="R31" s="20"/>
      <c r="S31" s="20"/>
      <c r="T31" s="48"/>
    </row>
    <row r="32" spans="1:20" ht="20.25" customHeight="1" x14ac:dyDescent="0.35">
      <c r="A32" s="8" t="s">
        <v>82</v>
      </c>
      <c r="B32" s="42" t="s">
        <v>83</v>
      </c>
      <c r="C32" s="43"/>
      <c r="D32" s="43"/>
      <c r="E32" s="43"/>
      <c r="F32" s="44"/>
      <c r="G32" s="14">
        <v>60</v>
      </c>
      <c r="H32" s="7">
        <f>1.5*0.6</f>
        <v>0.89999999999999991</v>
      </c>
      <c r="I32" s="7">
        <f>6.2*0.6</f>
        <v>3.7199999999999998</v>
      </c>
      <c r="J32" s="7">
        <f>5.4*0.6</f>
        <v>3.24</v>
      </c>
      <c r="K32" s="7">
        <f>83*0.6</f>
        <v>49.8</v>
      </c>
      <c r="L32" s="15">
        <f>0.04*0.6</f>
        <v>2.4E-2</v>
      </c>
      <c r="M32" s="7">
        <f>11*0.6</f>
        <v>6.6</v>
      </c>
      <c r="N32" s="15">
        <f>0</f>
        <v>0</v>
      </c>
      <c r="O32" s="7">
        <f>3*0.6</f>
        <v>1.7999999999999998</v>
      </c>
      <c r="P32" s="9">
        <f>36*0.6</f>
        <v>21.599999999999998</v>
      </c>
      <c r="Q32" s="9">
        <f>31.7*0.6</f>
        <v>19.02</v>
      </c>
      <c r="R32" s="7">
        <f>24*0.6</f>
        <v>14.399999999999999</v>
      </c>
      <c r="S32" s="7">
        <f>1*0.6</f>
        <v>0.6</v>
      </c>
      <c r="T32" s="48"/>
    </row>
    <row r="33" spans="1:20" ht="18.75" customHeight="1" x14ac:dyDescent="0.35">
      <c r="A33" s="8" t="s">
        <v>45</v>
      </c>
      <c r="B33" s="42" t="s">
        <v>12</v>
      </c>
      <c r="C33" s="43"/>
      <c r="D33" s="43"/>
      <c r="E33" s="43"/>
      <c r="F33" s="44"/>
      <c r="G33" s="14">
        <v>100</v>
      </c>
      <c r="H33" s="7">
        <v>11</v>
      </c>
      <c r="I33" s="7">
        <v>11.7</v>
      </c>
      <c r="J33" s="7">
        <v>7.8</v>
      </c>
      <c r="K33" s="7">
        <v>180</v>
      </c>
      <c r="L33" s="15">
        <v>0.05</v>
      </c>
      <c r="M33" s="7">
        <v>0.1</v>
      </c>
      <c r="N33" s="15">
        <v>0.01</v>
      </c>
      <c r="O33" s="7">
        <v>0.6</v>
      </c>
      <c r="P33" s="33">
        <v>10</v>
      </c>
      <c r="Q33" s="33">
        <v>101</v>
      </c>
      <c r="R33" s="7">
        <v>13</v>
      </c>
      <c r="S33" s="7">
        <v>1.6</v>
      </c>
      <c r="T33" s="48"/>
    </row>
    <row r="34" spans="1:20" ht="18" customHeight="1" x14ac:dyDescent="0.35">
      <c r="A34" s="8" t="s">
        <v>80</v>
      </c>
      <c r="B34" s="42" t="s">
        <v>81</v>
      </c>
      <c r="C34" s="45"/>
      <c r="D34" s="45"/>
      <c r="E34" s="45"/>
      <c r="F34" s="46"/>
      <c r="G34" s="14">
        <v>150</v>
      </c>
      <c r="H34" s="7">
        <f>3*1.5</f>
        <v>4.5</v>
      </c>
      <c r="I34" s="7">
        <f>3.8*1.5</f>
        <v>5.6999999999999993</v>
      </c>
      <c r="J34" s="7">
        <f>8.6*1.5</f>
        <v>12.899999999999999</v>
      </c>
      <c r="K34" s="7">
        <f>81*1.5</f>
        <v>121.5</v>
      </c>
      <c r="L34" s="15">
        <f>0.1*1.5</f>
        <v>0.15000000000000002</v>
      </c>
      <c r="M34" s="7">
        <f>2.8*1.5</f>
        <v>4.1999999999999993</v>
      </c>
      <c r="N34" s="15">
        <f>15.4*1.5</f>
        <v>23.1</v>
      </c>
      <c r="O34" s="7">
        <f>1.5*1.5</f>
        <v>2.25</v>
      </c>
      <c r="P34" s="9">
        <f>22.2*1.5</f>
        <v>33.299999999999997</v>
      </c>
      <c r="Q34" s="9">
        <f>60.8*1.5</f>
        <v>91.199999999999989</v>
      </c>
      <c r="R34" s="7">
        <f>19.7*1.5</f>
        <v>29.549999999999997</v>
      </c>
      <c r="S34" s="7">
        <f>0.78*1.5</f>
        <v>1.17</v>
      </c>
      <c r="T34" s="48"/>
    </row>
    <row r="35" spans="1:20" x14ac:dyDescent="0.35">
      <c r="A35" s="8" t="s">
        <v>5</v>
      </c>
      <c r="B35" s="37" t="s">
        <v>7</v>
      </c>
      <c r="C35" s="53"/>
      <c r="D35" s="53"/>
      <c r="E35" s="53"/>
      <c r="F35" s="54"/>
      <c r="G35" s="16" t="s">
        <v>41</v>
      </c>
      <c r="H35" s="7">
        <f>7.6*0.2</f>
        <v>1.52</v>
      </c>
      <c r="I35" s="7">
        <f>0.8*0.2</f>
        <v>0.16000000000000003</v>
      </c>
      <c r="J35" s="7">
        <f>49.2*0.2</f>
        <v>9.8400000000000016</v>
      </c>
      <c r="K35" s="7">
        <f>235*0.2</f>
        <v>47</v>
      </c>
      <c r="L35" s="15">
        <f>0.11*0.2</f>
        <v>2.2000000000000002E-2</v>
      </c>
      <c r="M35" s="7">
        <v>0</v>
      </c>
      <c r="N35" s="15">
        <v>0</v>
      </c>
      <c r="O35" s="7">
        <f>1.1*0.2</f>
        <v>0.22000000000000003</v>
      </c>
      <c r="P35" s="9">
        <f>20*0.2</f>
        <v>4</v>
      </c>
      <c r="Q35" s="9">
        <f>65*0.2</f>
        <v>13</v>
      </c>
      <c r="R35" s="7">
        <f>14*0.2</f>
        <v>2.8000000000000003</v>
      </c>
      <c r="S35" s="7">
        <f>30.3*0.2</f>
        <v>6.0600000000000005</v>
      </c>
      <c r="T35" s="48"/>
    </row>
    <row r="36" spans="1:20" ht="22.5" customHeight="1" x14ac:dyDescent="0.35">
      <c r="A36" s="8" t="s">
        <v>47</v>
      </c>
      <c r="B36" s="37" t="s">
        <v>57</v>
      </c>
      <c r="C36" s="53"/>
      <c r="D36" s="53"/>
      <c r="E36" s="53"/>
      <c r="F36" s="54"/>
      <c r="G36" s="24">
        <v>200</v>
      </c>
      <c r="H36" s="7">
        <v>0.5</v>
      </c>
      <c r="I36" s="7">
        <v>0.2</v>
      </c>
      <c r="J36" s="7">
        <v>32.4</v>
      </c>
      <c r="K36" s="7">
        <v>133</v>
      </c>
      <c r="L36" s="31">
        <v>0</v>
      </c>
      <c r="M36" s="32">
        <v>2</v>
      </c>
      <c r="N36" s="31">
        <v>0</v>
      </c>
      <c r="O36" s="7">
        <v>0.2</v>
      </c>
      <c r="P36" s="9">
        <v>16</v>
      </c>
      <c r="Q36" s="9">
        <v>16</v>
      </c>
      <c r="R36" s="7">
        <v>6</v>
      </c>
      <c r="S36" s="7">
        <v>1.5</v>
      </c>
      <c r="T36" s="48"/>
    </row>
    <row r="37" spans="1:20" x14ac:dyDescent="0.35">
      <c r="A37" s="12"/>
      <c r="B37" s="50" t="s">
        <v>24</v>
      </c>
      <c r="C37" s="50"/>
      <c r="D37" s="50"/>
      <c r="E37" s="50"/>
      <c r="F37" s="50"/>
      <c r="G37" s="35">
        <f>G36+G35+G34+G33+G32</f>
        <v>530</v>
      </c>
      <c r="H37" s="20">
        <f t="shared" ref="H37:S37" si="3">SUM(H32:H36)</f>
        <v>18.419999999999998</v>
      </c>
      <c r="I37" s="20">
        <f t="shared" si="3"/>
        <v>21.479999999999997</v>
      </c>
      <c r="J37" s="20">
        <f t="shared" si="3"/>
        <v>66.180000000000007</v>
      </c>
      <c r="K37" s="20">
        <f t="shared" si="3"/>
        <v>531.29999999999995</v>
      </c>
      <c r="L37" s="21">
        <f t="shared" si="3"/>
        <v>0.24600000000000002</v>
      </c>
      <c r="M37" s="20">
        <f t="shared" si="3"/>
        <v>12.899999999999999</v>
      </c>
      <c r="N37" s="21">
        <f t="shared" si="3"/>
        <v>23.110000000000003</v>
      </c>
      <c r="O37" s="20">
        <f t="shared" si="3"/>
        <v>5.07</v>
      </c>
      <c r="P37" s="22">
        <f t="shared" si="3"/>
        <v>84.899999999999991</v>
      </c>
      <c r="Q37" s="22">
        <f t="shared" si="3"/>
        <v>240.21999999999997</v>
      </c>
      <c r="R37" s="20">
        <f t="shared" si="3"/>
        <v>65.75</v>
      </c>
      <c r="S37" s="20">
        <f t="shared" si="3"/>
        <v>10.93</v>
      </c>
      <c r="T37" s="48"/>
    </row>
    <row r="38" spans="1:20" x14ac:dyDescent="0.35">
      <c r="A38" s="51" t="s">
        <v>22</v>
      </c>
      <c r="B38" s="40"/>
      <c r="C38" s="40"/>
      <c r="D38" s="40"/>
      <c r="E38" s="40"/>
      <c r="F38" s="41"/>
      <c r="G38" s="13"/>
      <c r="H38" s="20"/>
      <c r="I38" s="20"/>
      <c r="J38" s="20"/>
      <c r="K38" s="20"/>
      <c r="L38" s="21"/>
      <c r="M38" s="20"/>
      <c r="N38" s="21"/>
      <c r="O38" s="20"/>
      <c r="P38" s="22"/>
      <c r="Q38" s="22"/>
      <c r="R38" s="20"/>
      <c r="S38" s="20"/>
      <c r="T38" s="48"/>
    </row>
    <row r="39" spans="1:20" ht="23.25" customHeight="1" x14ac:dyDescent="0.35">
      <c r="A39" s="8" t="s">
        <v>71</v>
      </c>
      <c r="B39" s="37" t="s">
        <v>72</v>
      </c>
      <c r="C39" s="53"/>
      <c r="D39" s="53"/>
      <c r="E39" s="53"/>
      <c r="F39" s="54"/>
      <c r="G39" s="24">
        <v>200</v>
      </c>
      <c r="H39" s="7">
        <v>5.4</v>
      </c>
      <c r="I39" s="7">
        <v>5</v>
      </c>
      <c r="J39" s="7">
        <v>21.6</v>
      </c>
      <c r="K39" s="7">
        <v>158</v>
      </c>
      <c r="L39" s="15">
        <v>0.06</v>
      </c>
      <c r="M39" s="7">
        <v>1.8</v>
      </c>
      <c r="N39" s="15">
        <v>40</v>
      </c>
      <c r="O39" s="34">
        <v>0</v>
      </c>
      <c r="P39" s="9">
        <v>242</v>
      </c>
      <c r="Q39" s="9">
        <v>188</v>
      </c>
      <c r="R39" s="7">
        <v>30</v>
      </c>
      <c r="S39" s="7">
        <v>0.2</v>
      </c>
      <c r="T39" s="48"/>
    </row>
    <row r="40" spans="1:20" x14ac:dyDescent="0.35">
      <c r="A40" s="10"/>
      <c r="B40" s="50" t="s">
        <v>26</v>
      </c>
      <c r="C40" s="50"/>
      <c r="D40" s="50"/>
      <c r="E40" s="50"/>
      <c r="F40" s="50"/>
      <c r="G40" s="23">
        <f>G39</f>
        <v>200</v>
      </c>
      <c r="H40" s="20">
        <f t="shared" ref="H40:S40" si="4">SUM(H39:H39)</f>
        <v>5.4</v>
      </c>
      <c r="I40" s="20">
        <f t="shared" si="4"/>
        <v>5</v>
      </c>
      <c r="J40" s="20">
        <f t="shared" si="4"/>
        <v>21.6</v>
      </c>
      <c r="K40" s="20">
        <f t="shared" si="4"/>
        <v>158</v>
      </c>
      <c r="L40" s="21">
        <f t="shared" si="4"/>
        <v>0.06</v>
      </c>
      <c r="M40" s="20">
        <f t="shared" si="4"/>
        <v>1.8</v>
      </c>
      <c r="N40" s="21">
        <f t="shared" si="4"/>
        <v>40</v>
      </c>
      <c r="O40" s="20">
        <f t="shared" si="4"/>
        <v>0</v>
      </c>
      <c r="P40" s="22">
        <f t="shared" si="4"/>
        <v>242</v>
      </c>
      <c r="Q40" s="22">
        <f t="shared" si="4"/>
        <v>188</v>
      </c>
      <c r="R40" s="20">
        <f t="shared" si="4"/>
        <v>30</v>
      </c>
      <c r="S40" s="20">
        <f t="shared" si="4"/>
        <v>0.2</v>
      </c>
      <c r="T40" s="48"/>
    </row>
    <row r="41" spans="1:20" x14ac:dyDescent="0.35">
      <c r="A41" s="51" t="s">
        <v>25</v>
      </c>
      <c r="B41" s="50"/>
      <c r="C41" s="50"/>
      <c r="D41" s="50"/>
      <c r="E41" s="50"/>
      <c r="F41" s="50"/>
      <c r="G41" s="52"/>
      <c r="H41" s="20">
        <f>H15+H25+H29+H37+H40</f>
        <v>87.810999999999993</v>
      </c>
      <c r="I41" s="20">
        <f>I15+I25+I29+I37+I40</f>
        <v>94.722999999999985</v>
      </c>
      <c r="J41" s="20">
        <f>J25+J15+J29+J37+J40</f>
        <v>340.02000000000004</v>
      </c>
      <c r="K41" s="20">
        <f>K25+K15+K29+K37+K40</f>
        <v>2557.6000000000004</v>
      </c>
      <c r="L41" s="21">
        <f>L15+L25+L29+L37+L40</f>
        <v>1.0365</v>
      </c>
      <c r="M41" s="20">
        <f>M15+M25+M29+M37+M40</f>
        <v>413.17</v>
      </c>
      <c r="N41" s="21">
        <f>N15+N25+N29+N37+N40</f>
        <v>204.27160000000001</v>
      </c>
      <c r="O41" s="20">
        <f>O15+O25+O29+O37+O40</f>
        <v>15.02</v>
      </c>
      <c r="P41" s="22">
        <f>P25+P15+P29+P37+P40</f>
        <v>1168.1799999999998</v>
      </c>
      <c r="Q41" s="22">
        <f>Q15+Q25+Q29+Q37+Q40</f>
        <v>1597.83</v>
      </c>
      <c r="R41" s="20">
        <f>R15+R25+R29+R37+R40</f>
        <v>417.87</v>
      </c>
      <c r="S41" s="20">
        <f>S15+S25+S29+S37+S40</f>
        <v>23.63</v>
      </c>
      <c r="T41" s="49"/>
    </row>
    <row r="42" spans="1:20" x14ac:dyDescent="0.35">
      <c r="A42" s="2" t="s">
        <v>59</v>
      </c>
      <c r="B42" s="2" t="s">
        <v>67</v>
      </c>
      <c r="F42" s="25"/>
      <c r="G42" s="25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6"/>
    </row>
    <row r="43" spans="1:20" x14ac:dyDescent="0.35">
      <c r="A43" s="2" t="s">
        <v>60</v>
      </c>
      <c r="B43" s="2" t="s">
        <v>61</v>
      </c>
      <c r="F43" s="25"/>
      <c r="G43" s="25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6"/>
    </row>
    <row r="44" spans="1:20" x14ac:dyDescent="0.35">
      <c r="A44" s="2" t="s">
        <v>62</v>
      </c>
      <c r="B44" s="2" t="s">
        <v>63</v>
      </c>
      <c r="F44" s="25"/>
      <c r="G44" s="25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6"/>
    </row>
    <row r="45" spans="1:20" x14ac:dyDescent="0.35">
      <c r="A45" s="59" t="s">
        <v>64</v>
      </c>
      <c r="B45" s="60"/>
      <c r="C45" s="60"/>
      <c r="D45" s="5"/>
      <c r="E45" s="5" t="s">
        <v>66</v>
      </c>
      <c r="F45" s="28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</row>
    <row r="46" spans="1:20" ht="15.75" customHeight="1" x14ac:dyDescent="0.35">
      <c r="A46" s="55" t="s">
        <v>18</v>
      </c>
      <c r="B46" s="55" t="s">
        <v>15</v>
      </c>
      <c r="C46" s="55"/>
      <c r="D46" s="55"/>
      <c r="E46" s="55"/>
      <c r="F46" s="55"/>
      <c r="G46" s="56" t="s">
        <v>10</v>
      </c>
      <c r="H46" s="58" t="s">
        <v>13</v>
      </c>
      <c r="I46" s="58"/>
      <c r="J46" s="58"/>
      <c r="K46" s="58" t="s">
        <v>19</v>
      </c>
      <c r="L46" s="55" t="s">
        <v>11</v>
      </c>
      <c r="M46" s="55"/>
      <c r="N46" s="55"/>
      <c r="O46" s="55"/>
      <c r="P46" s="55" t="s">
        <v>46</v>
      </c>
      <c r="Q46" s="55"/>
      <c r="R46" s="55"/>
      <c r="S46" s="55"/>
      <c r="T46" s="47" t="s">
        <v>69</v>
      </c>
    </row>
    <row r="47" spans="1:20" x14ac:dyDescent="0.35">
      <c r="A47" s="55"/>
      <c r="B47" s="55"/>
      <c r="C47" s="55"/>
      <c r="D47" s="55"/>
      <c r="E47" s="55"/>
      <c r="F47" s="55"/>
      <c r="G47" s="57"/>
      <c r="H47" s="7" t="s">
        <v>38</v>
      </c>
      <c r="I47" s="7" t="s">
        <v>31</v>
      </c>
      <c r="J47" s="7" t="s">
        <v>29</v>
      </c>
      <c r="K47" s="58"/>
      <c r="L47" s="8" t="s">
        <v>39</v>
      </c>
      <c r="M47" s="7" t="s">
        <v>30</v>
      </c>
      <c r="N47" s="8" t="s">
        <v>28</v>
      </c>
      <c r="O47" s="7" t="s">
        <v>36</v>
      </c>
      <c r="P47" s="9" t="s">
        <v>35</v>
      </c>
      <c r="Q47" s="9" t="s">
        <v>37</v>
      </c>
      <c r="R47" s="9" t="s">
        <v>33</v>
      </c>
      <c r="S47" s="7" t="s">
        <v>32</v>
      </c>
      <c r="T47" s="48"/>
    </row>
    <row r="48" spans="1:20" x14ac:dyDescent="0.35">
      <c r="A48" s="8">
        <v>1</v>
      </c>
      <c r="B48" s="37">
        <v>2</v>
      </c>
      <c r="C48" s="53"/>
      <c r="D48" s="53"/>
      <c r="E48" s="53"/>
      <c r="F48" s="54"/>
      <c r="G48" s="6">
        <v>3</v>
      </c>
      <c r="H48" s="11">
        <v>4</v>
      </c>
      <c r="I48" s="11">
        <v>5</v>
      </c>
      <c r="J48" s="6">
        <v>6</v>
      </c>
      <c r="K48" s="6">
        <v>7</v>
      </c>
      <c r="L48" s="6">
        <v>8</v>
      </c>
      <c r="M48" s="6">
        <v>9</v>
      </c>
      <c r="N48" s="6">
        <v>10</v>
      </c>
      <c r="O48" s="6">
        <v>11</v>
      </c>
      <c r="P48" s="6">
        <v>12</v>
      </c>
      <c r="Q48" s="6">
        <v>13</v>
      </c>
      <c r="R48" s="6">
        <v>14</v>
      </c>
      <c r="S48" s="6">
        <v>15</v>
      </c>
      <c r="T48" s="48"/>
    </row>
    <row r="49" spans="1:20" x14ac:dyDescent="0.35">
      <c r="A49" s="51" t="s">
        <v>16</v>
      </c>
      <c r="B49" s="50"/>
      <c r="C49" s="50"/>
      <c r="D49" s="50"/>
      <c r="E49" s="50"/>
      <c r="F49" s="52"/>
      <c r="G49" s="8"/>
      <c r="H49" s="7"/>
      <c r="I49" s="7"/>
      <c r="J49" s="7"/>
      <c r="K49" s="7"/>
      <c r="L49" s="8"/>
      <c r="M49" s="7"/>
      <c r="N49" s="8"/>
      <c r="O49" s="7"/>
      <c r="P49" s="9"/>
      <c r="Q49" s="9"/>
      <c r="R49" s="9"/>
      <c r="S49" s="7"/>
      <c r="T49" s="48"/>
    </row>
    <row r="50" spans="1:20" x14ac:dyDescent="0.35">
      <c r="A50" s="8" t="s">
        <v>56</v>
      </c>
      <c r="B50" s="37" t="s">
        <v>14</v>
      </c>
      <c r="C50" s="53"/>
      <c r="D50" s="53"/>
      <c r="E50" s="53"/>
      <c r="F50" s="54"/>
      <c r="G50" s="14">
        <v>250</v>
      </c>
      <c r="H50" s="7">
        <f>27.7*0.25</f>
        <v>6.9249999999999998</v>
      </c>
      <c r="I50" s="7">
        <f>43.1*0.25</f>
        <v>10.775</v>
      </c>
      <c r="J50" s="7">
        <f>162*0.25</f>
        <v>40.5</v>
      </c>
      <c r="K50" s="7">
        <f>1147*0.25</f>
        <v>286.75</v>
      </c>
      <c r="L50" s="15">
        <f>0.32*0.25</f>
        <v>0.08</v>
      </c>
      <c r="M50" s="7">
        <f>7.7*0.25</f>
        <v>1.925</v>
      </c>
      <c r="N50" s="15">
        <f>0.27*0.25</f>
        <v>6.7500000000000004E-2</v>
      </c>
      <c r="O50" s="7">
        <f>0.9*0.25</f>
        <v>0.22500000000000001</v>
      </c>
      <c r="P50" s="9">
        <f>717*0.25</f>
        <v>179.25</v>
      </c>
      <c r="Q50" s="9">
        <f>759*0.25</f>
        <v>189.75</v>
      </c>
      <c r="R50" s="7">
        <f>158*0.25</f>
        <v>39.5</v>
      </c>
      <c r="S50" s="7">
        <f>2.2*0.25</f>
        <v>0.55000000000000004</v>
      </c>
      <c r="T50" s="48"/>
    </row>
    <row r="51" spans="1:20" ht="21.75" customHeight="1" x14ac:dyDescent="0.35">
      <c r="A51" s="8" t="s">
        <v>78</v>
      </c>
      <c r="B51" s="42" t="s">
        <v>79</v>
      </c>
      <c r="C51" s="43"/>
      <c r="D51" s="43"/>
      <c r="E51" s="43"/>
      <c r="F51" s="44"/>
      <c r="G51" s="16" t="s">
        <v>43</v>
      </c>
      <c r="H51" s="7">
        <f>5.1</f>
        <v>5.0999999999999996</v>
      </c>
      <c r="I51" s="7">
        <f>4.6</f>
        <v>4.5999999999999996</v>
      </c>
      <c r="J51" s="7">
        <f>0.3</f>
        <v>0.3</v>
      </c>
      <c r="K51" s="7">
        <f>63</f>
        <v>63</v>
      </c>
      <c r="L51" s="15">
        <f>0.03</f>
        <v>0.03</v>
      </c>
      <c r="M51" s="7">
        <v>0</v>
      </c>
      <c r="N51" s="15">
        <f>100.6</f>
        <v>100.6</v>
      </c>
      <c r="O51" s="7">
        <f>0.2</f>
        <v>0.2</v>
      </c>
      <c r="P51" s="17">
        <f>22.1</f>
        <v>22.1</v>
      </c>
      <c r="Q51" s="17">
        <f>77.3</f>
        <v>77.3</v>
      </c>
      <c r="R51" s="18">
        <f>7.8</f>
        <v>7.8</v>
      </c>
      <c r="S51" s="7">
        <f>1.01</f>
        <v>1.01</v>
      </c>
      <c r="T51" s="48"/>
    </row>
    <row r="52" spans="1:20" ht="15.75" customHeight="1" x14ac:dyDescent="0.35">
      <c r="A52" s="8" t="s">
        <v>0</v>
      </c>
      <c r="B52" s="37" t="s">
        <v>6</v>
      </c>
      <c r="C52" s="53"/>
      <c r="D52" s="53"/>
      <c r="E52" s="53"/>
      <c r="F52" s="54"/>
      <c r="G52" s="16" t="s">
        <v>44</v>
      </c>
      <c r="H52" s="7">
        <f>7.5*0.6</f>
        <v>4.5</v>
      </c>
      <c r="I52" s="7">
        <f>2.9*0.6</f>
        <v>1.74</v>
      </c>
      <c r="J52" s="7">
        <f>51.4*0.6</f>
        <v>30.839999999999996</v>
      </c>
      <c r="K52" s="7">
        <f>262*0.6</f>
        <v>157.19999999999999</v>
      </c>
      <c r="L52" s="15">
        <f>0.11*0.6</f>
        <v>6.6000000000000003E-2</v>
      </c>
      <c r="M52" s="7">
        <v>0</v>
      </c>
      <c r="N52" s="15">
        <v>0</v>
      </c>
      <c r="O52" s="7">
        <f>1.7*0.6</f>
        <v>1.02</v>
      </c>
      <c r="P52" s="9">
        <f>19*0.6</f>
        <v>11.4</v>
      </c>
      <c r="Q52" s="9">
        <f>65*0.6</f>
        <v>39</v>
      </c>
      <c r="R52" s="7">
        <f>13*0.6</f>
        <v>7.8</v>
      </c>
      <c r="S52" s="7">
        <f>1.2*0.6</f>
        <v>0.72</v>
      </c>
      <c r="T52" s="48"/>
    </row>
    <row r="53" spans="1:20" ht="15.75" customHeight="1" x14ac:dyDescent="0.35">
      <c r="A53" s="8" t="s">
        <v>86</v>
      </c>
      <c r="B53" s="37" t="s">
        <v>87</v>
      </c>
      <c r="C53" s="38"/>
      <c r="D53" s="38"/>
      <c r="E53" s="38"/>
      <c r="F53" s="39"/>
      <c r="G53" s="16" t="s">
        <v>89</v>
      </c>
      <c r="H53" s="7">
        <f>0.5*0.1</f>
        <v>0.05</v>
      </c>
      <c r="I53" s="7">
        <f>82.5*0.1</f>
        <v>8.25</v>
      </c>
      <c r="J53" s="7">
        <f>0.8*0.1</f>
        <v>8.0000000000000016E-2</v>
      </c>
      <c r="K53" s="7">
        <f>748*0.1</f>
        <v>74.8</v>
      </c>
      <c r="L53" s="15">
        <f>0</f>
        <v>0</v>
      </c>
      <c r="M53" s="7">
        <f>0</f>
        <v>0</v>
      </c>
      <c r="N53" s="15">
        <f>0.59*0.1</f>
        <v>5.8999999999999997E-2</v>
      </c>
      <c r="O53" s="7">
        <f>1*0.1</f>
        <v>0.1</v>
      </c>
      <c r="P53" s="9">
        <f>12*0.1</f>
        <v>1.2000000000000002</v>
      </c>
      <c r="Q53" s="9">
        <f>19*0.1</f>
        <v>1.9000000000000001</v>
      </c>
      <c r="R53" s="7">
        <f>0</f>
        <v>0</v>
      </c>
      <c r="S53" s="7">
        <f>0.2*0.1</f>
        <v>2.0000000000000004E-2</v>
      </c>
      <c r="T53" s="48"/>
    </row>
    <row r="54" spans="1:20" ht="17.25" customHeight="1" x14ac:dyDescent="0.35">
      <c r="A54" s="8" t="s">
        <v>3</v>
      </c>
      <c r="B54" s="37" t="s">
        <v>54</v>
      </c>
      <c r="C54" s="53"/>
      <c r="D54" s="53"/>
      <c r="E54" s="53"/>
      <c r="F54" s="54"/>
      <c r="G54" s="16" t="s">
        <v>40</v>
      </c>
      <c r="H54" s="7">
        <f>0.8*2</f>
        <v>1.6</v>
      </c>
      <c r="I54" s="7">
        <f>0.4*2</f>
        <v>0.8</v>
      </c>
      <c r="J54" s="7">
        <f>8.1*2</f>
        <v>16.2</v>
      </c>
      <c r="K54" s="7">
        <f>47*2</f>
        <v>94</v>
      </c>
      <c r="L54" s="15">
        <f>0.04*2</f>
        <v>0.08</v>
      </c>
      <c r="M54" s="1">
        <f>180*2</f>
        <v>360</v>
      </c>
      <c r="N54" s="15">
        <v>0</v>
      </c>
      <c r="O54" s="7">
        <f>0.4*2</f>
        <v>0.8</v>
      </c>
      <c r="P54" s="17">
        <f>8*2</f>
        <v>16</v>
      </c>
      <c r="Q54" s="17">
        <f>28*2</f>
        <v>56</v>
      </c>
      <c r="R54" s="18">
        <f>42*2</f>
        <v>84</v>
      </c>
      <c r="S54" s="7">
        <f>0.6*2</f>
        <v>1.2</v>
      </c>
      <c r="T54" s="48"/>
    </row>
    <row r="55" spans="1:20" ht="15.75" customHeight="1" x14ac:dyDescent="0.35">
      <c r="A55" s="8" t="s">
        <v>4</v>
      </c>
      <c r="B55" s="37" t="s">
        <v>23</v>
      </c>
      <c r="C55" s="53"/>
      <c r="D55" s="53"/>
      <c r="E55" s="53"/>
      <c r="F55" s="54"/>
      <c r="G55" s="14">
        <v>200</v>
      </c>
      <c r="H55" s="7">
        <v>3.2</v>
      </c>
      <c r="I55" s="7">
        <v>2.7</v>
      </c>
      <c r="J55" s="7">
        <v>15.9</v>
      </c>
      <c r="K55" s="7">
        <v>79</v>
      </c>
      <c r="L55" s="15">
        <v>0.04</v>
      </c>
      <c r="M55" s="7">
        <v>1.3</v>
      </c>
      <c r="N55" s="15">
        <v>0.02</v>
      </c>
      <c r="O55" s="7">
        <v>0</v>
      </c>
      <c r="P55" s="9">
        <v>126</v>
      </c>
      <c r="Q55" s="9">
        <v>90</v>
      </c>
      <c r="R55" s="7">
        <v>14</v>
      </c>
      <c r="S55" s="7">
        <v>0.1</v>
      </c>
      <c r="T55" s="48"/>
    </row>
    <row r="56" spans="1:20" x14ac:dyDescent="0.35">
      <c r="A56" s="19"/>
      <c r="B56" s="50" t="s">
        <v>8</v>
      </c>
      <c r="C56" s="50"/>
      <c r="D56" s="50"/>
      <c r="E56" s="50"/>
      <c r="F56" s="52"/>
      <c r="G56" s="36">
        <f>G55+G54+G53+G52+G51+G50</f>
        <v>760</v>
      </c>
      <c r="H56" s="20">
        <f>SUM(H50:H55)</f>
        <v>21.375</v>
      </c>
      <c r="I56" s="20">
        <f>SUM(I50:I55)</f>
        <v>28.864999999999998</v>
      </c>
      <c r="J56" s="20">
        <f>SUM(J50:J55)</f>
        <v>103.82</v>
      </c>
      <c r="K56" s="20">
        <f>SUM(K50:K55)</f>
        <v>754.75</v>
      </c>
      <c r="L56" s="21">
        <f t="shared" ref="L56:S56" si="5">SUM(L50:L55)</f>
        <v>0.29599999999999999</v>
      </c>
      <c r="M56" s="20">
        <f t="shared" si="5"/>
        <v>363.22500000000002</v>
      </c>
      <c r="N56" s="21">
        <f t="shared" si="5"/>
        <v>100.74649999999998</v>
      </c>
      <c r="O56" s="20">
        <f t="shared" si="5"/>
        <v>2.3450000000000002</v>
      </c>
      <c r="P56" s="22">
        <f t="shared" si="5"/>
        <v>355.95</v>
      </c>
      <c r="Q56" s="22">
        <f t="shared" si="5"/>
        <v>453.95</v>
      </c>
      <c r="R56" s="20">
        <f t="shared" si="5"/>
        <v>153.1</v>
      </c>
      <c r="S56" s="20">
        <f t="shared" si="5"/>
        <v>3.6</v>
      </c>
      <c r="T56" s="48"/>
    </row>
    <row r="57" spans="1:20" x14ac:dyDescent="0.35">
      <c r="A57" s="51" t="s">
        <v>17</v>
      </c>
      <c r="B57" s="50"/>
      <c r="C57" s="50"/>
      <c r="D57" s="50"/>
      <c r="E57" s="50"/>
      <c r="F57" s="52"/>
      <c r="G57" s="14"/>
      <c r="H57" s="7"/>
      <c r="I57" s="7"/>
      <c r="J57" s="7"/>
      <c r="K57" s="7"/>
      <c r="L57" s="15"/>
      <c r="M57" s="7"/>
      <c r="N57" s="15"/>
      <c r="O57" s="7"/>
      <c r="P57" s="9"/>
      <c r="Q57" s="9"/>
      <c r="R57" s="7"/>
      <c r="S57" s="7"/>
      <c r="T57" s="48"/>
    </row>
    <row r="58" spans="1:20" ht="17.25" customHeight="1" x14ac:dyDescent="0.35">
      <c r="A58" s="29" t="s">
        <v>84</v>
      </c>
      <c r="B58" s="42" t="s">
        <v>85</v>
      </c>
      <c r="C58" s="43"/>
      <c r="D58" s="43"/>
      <c r="E58" s="43"/>
      <c r="F58" s="44"/>
      <c r="G58" s="14">
        <v>100</v>
      </c>
      <c r="H58" s="7">
        <f>4.8</f>
        <v>4.8</v>
      </c>
      <c r="I58" s="7">
        <f>10.7</f>
        <v>10.7</v>
      </c>
      <c r="J58" s="7">
        <f>6.5</f>
        <v>6.5</v>
      </c>
      <c r="K58" s="7">
        <f>141</f>
        <v>141</v>
      </c>
      <c r="L58" s="15">
        <f>0.02</f>
        <v>0.02</v>
      </c>
      <c r="M58" s="7">
        <f>4.6</f>
        <v>4.5999999999999996</v>
      </c>
      <c r="N58" s="15">
        <f>40.3</f>
        <v>40.299999999999997</v>
      </c>
      <c r="O58" s="7">
        <f>4.5</f>
        <v>4.5</v>
      </c>
      <c r="P58" s="9">
        <f>166.6</f>
        <v>166.6</v>
      </c>
      <c r="Q58" s="9">
        <f>110.5</f>
        <v>110.5</v>
      </c>
      <c r="R58" s="7">
        <f>22</f>
        <v>22</v>
      </c>
      <c r="S58" s="7">
        <f>1.25</f>
        <v>1.25</v>
      </c>
      <c r="T58" s="48"/>
    </row>
    <row r="59" spans="1:20" ht="18.75" customHeight="1" x14ac:dyDescent="0.35">
      <c r="A59" s="8" t="s">
        <v>48</v>
      </c>
      <c r="B59" s="42" t="s">
        <v>49</v>
      </c>
      <c r="C59" s="43"/>
      <c r="D59" s="43"/>
      <c r="E59" s="43"/>
      <c r="F59" s="44"/>
      <c r="G59" s="14">
        <v>250</v>
      </c>
      <c r="H59" s="7">
        <f>24.6*0.25</f>
        <v>6.15</v>
      </c>
      <c r="I59" s="7">
        <f>9.8*0.25</f>
        <v>2.4500000000000002</v>
      </c>
      <c r="J59" s="7">
        <f>42.7*0.25</f>
        <v>10.675000000000001</v>
      </c>
      <c r="K59" s="7">
        <f>363*0.25</f>
        <v>90.75</v>
      </c>
      <c r="L59" s="15">
        <f>0.45*0.25</f>
        <v>0.1125</v>
      </c>
      <c r="M59" s="7">
        <f>45.7*0.25</f>
        <v>11.425000000000001</v>
      </c>
      <c r="N59" s="15">
        <f>0.09*0.25</f>
        <v>2.2499999999999999E-2</v>
      </c>
      <c r="O59" s="7">
        <f>1.9*0.25</f>
        <v>0.47499999999999998</v>
      </c>
      <c r="P59" s="9">
        <f>126*0.25</f>
        <v>31.5</v>
      </c>
      <c r="Q59" s="9">
        <f>476*0.25</f>
        <v>119</v>
      </c>
      <c r="R59" s="7">
        <f>129*0.25</f>
        <v>32.25</v>
      </c>
      <c r="S59" s="7">
        <f>4.1*0.25</f>
        <v>1.0249999999999999</v>
      </c>
      <c r="T59" s="48"/>
    </row>
    <row r="60" spans="1:20" ht="15.75" customHeight="1" x14ac:dyDescent="0.35">
      <c r="A60" s="8" t="s">
        <v>50</v>
      </c>
      <c r="B60" s="42" t="s">
        <v>51</v>
      </c>
      <c r="C60" s="43"/>
      <c r="D60" s="43"/>
      <c r="E60" s="43"/>
      <c r="F60" s="44"/>
      <c r="G60" s="14">
        <v>200</v>
      </c>
      <c r="H60" s="7">
        <f>8.5*2</f>
        <v>17</v>
      </c>
      <c r="I60" s="7">
        <f>8.3*2</f>
        <v>16.600000000000001</v>
      </c>
      <c r="J60" s="7">
        <f>4*2</f>
        <v>8</v>
      </c>
      <c r="K60" s="7">
        <f>125*2</f>
        <v>250</v>
      </c>
      <c r="L60" s="15">
        <f>0.04*2</f>
        <v>0.08</v>
      </c>
      <c r="M60" s="7">
        <f>12.4*2</f>
        <v>24.8</v>
      </c>
      <c r="N60" s="15">
        <f>0.02*2</f>
        <v>0.04</v>
      </c>
      <c r="O60" s="7">
        <f>0.3*2</f>
        <v>0.6</v>
      </c>
      <c r="P60" s="9">
        <f>34*2</f>
        <v>68</v>
      </c>
      <c r="Q60" s="9">
        <f>103*2</f>
        <v>206</v>
      </c>
      <c r="R60" s="7">
        <f>21*2</f>
        <v>42</v>
      </c>
      <c r="S60" s="7">
        <f>1.5*2</f>
        <v>3</v>
      </c>
      <c r="T60" s="48"/>
    </row>
    <row r="61" spans="1:20" ht="16.5" customHeight="1" x14ac:dyDescent="0.35">
      <c r="A61" s="8" t="s">
        <v>52</v>
      </c>
      <c r="B61" s="42" t="s">
        <v>53</v>
      </c>
      <c r="C61" s="45"/>
      <c r="D61" s="45"/>
      <c r="E61" s="45"/>
      <c r="F61" s="46"/>
      <c r="G61" s="24">
        <v>75</v>
      </c>
      <c r="H61" s="7">
        <f>12.4*0.075</f>
        <v>0.92999999999999994</v>
      </c>
      <c r="I61" s="7">
        <f>40.4*0.075</f>
        <v>3.03</v>
      </c>
      <c r="J61" s="7">
        <f>58.8*0.075</f>
        <v>4.4099999999999993</v>
      </c>
      <c r="K61" s="7">
        <f>648*0.075</f>
        <v>48.6</v>
      </c>
      <c r="L61" s="15">
        <f>0.11*0.075</f>
        <v>8.2500000000000004E-3</v>
      </c>
      <c r="M61" s="7">
        <f>7.4*0.075</f>
        <v>0.55500000000000005</v>
      </c>
      <c r="N61" s="15">
        <f>0.29*0.075</f>
        <v>2.1749999999999999E-2</v>
      </c>
      <c r="O61" s="7">
        <f>1.4*0.075</f>
        <v>0.105</v>
      </c>
      <c r="P61" s="9">
        <f>55*0.075</f>
        <v>4.125</v>
      </c>
      <c r="Q61" s="9">
        <f>160*0.075</f>
        <v>12</v>
      </c>
      <c r="R61" s="7">
        <f>34*0.075</f>
        <v>2.5499999999999998</v>
      </c>
      <c r="S61" s="7">
        <f>1.4*0.075</f>
        <v>0.105</v>
      </c>
      <c r="T61" s="48"/>
    </row>
    <row r="62" spans="1:20" x14ac:dyDescent="0.35">
      <c r="A62" s="8" t="s">
        <v>58</v>
      </c>
      <c r="B62" s="42" t="s">
        <v>70</v>
      </c>
      <c r="C62" s="43"/>
      <c r="D62" s="43"/>
      <c r="E62" s="43"/>
      <c r="F62" s="44"/>
      <c r="G62" s="16" t="s">
        <v>42</v>
      </c>
      <c r="H62" s="7">
        <f>7.5*0.5</f>
        <v>3.75</v>
      </c>
      <c r="I62" s="7">
        <f>9.8*0.5</f>
        <v>4.9000000000000004</v>
      </c>
      <c r="J62" s="7">
        <f>74.4*0.5</f>
        <v>37.200000000000003</v>
      </c>
      <c r="K62" s="7">
        <f>417*0.5</f>
        <v>208.5</v>
      </c>
      <c r="L62" s="15">
        <f>0.08*0.5</f>
        <v>0.04</v>
      </c>
      <c r="M62" s="7">
        <v>0</v>
      </c>
      <c r="N62" s="15">
        <f>0.01*0.5</f>
        <v>5.0000000000000001E-3</v>
      </c>
      <c r="O62" s="7">
        <f>3.5*0.5</f>
        <v>1.75</v>
      </c>
      <c r="P62" s="9">
        <f>29*0.5</f>
        <v>14.5</v>
      </c>
      <c r="Q62" s="9">
        <f>90*0.5</f>
        <v>45</v>
      </c>
      <c r="R62" s="7">
        <f>20*0.5</f>
        <v>10</v>
      </c>
      <c r="S62" s="7">
        <f>2.1*0.5</f>
        <v>1.05</v>
      </c>
      <c r="T62" s="48"/>
    </row>
    <row r="63" spans="1:20" x14ac:dyDescent="0.35">
      <c r="A63" s="8" t="s">
        <v>5</v>
      </c>
      <c r="B63" s="37" t="s">
        <v>7</v>
      </c>
      <c r="C63" s="40"/>
      <c r="D63" s="40"/>
      <c r="E63" s="40"/>
      <c r="F63" s="41"/>
      <c r="G63" s="16" t="s">
        <v>42</v>
      </c>
      <c r="H63" s="7">
        <f>7.6*0.5</f>
        <v>3.8</v>
      </c>
      <c r="I63" s="7">
        <f>0.8*0.5</f>
        <v>0.4</v>
      </c>
      <c r="J63" s="7">
        <f>49.2*0.5</f>
        <v>24.6</v>
      </c>
      <c r="K63" s="7">
        <f>235*0.5</f>
        <v>117.5</v>
      </c>
      <c r="L63" s="15">
        <f>0.11*0.5</f>
        <v>5.5E-2</v>
      </c>
      <c r="M63" s="7">
        <v>0</v>
      </c>
      <c r="N63" s="15">
        <v>0</v>
      </c>
      <c r="O63" s="7">
        <f>1.1*0.5</f>
        <v>0.55000000000000004</v>
      </c>
      <c r="P63" s="9">
        <f>20*0.5</f>
        <v>10</v>
      </c>
      <c r="Q63" s="9">
        <f>65*0.5</f>
        <v>32.5</v>
      </c>
      <c r="R63" s="7">
        <f>14*0.5</f>
        <v>7</v>
      </c>
      <c r="S63" s="7">
        <f>1.1*0.5</f>
        <v>0.55000000000000004</v>
      </c>
      <c r="T63" s="48"/>
    </row>
    <row r="64" spans="1:20" x14ac:dyDescent="0.35">
      <c r="A64" s="8" t="s">
        <v>1</v>
      </c>
      <c r="B64" s="37" t="s">
        <v>2</v>
      </c>
      <c r="C64" s="53"/>
      <c r="D64" s="53"/>
      <c r="E64" s="53"/>
      <c r="F64" s="54"/>
      <c r="G64" s="14">
        <v>40</v>
      </c>
      <c r="H64" s="7">
        <f>6.6*0.4</f>
        <v>2.64</v>
      </c>
      <c r="I64" s="7">
        <f>1.2*0.4</f>
        <v>0.48</v>
      </c>
      <c r="J64" s="7">
        <f>33.4*0.4</f>
        <v>13.36</v>
      </c>
      <c r="K64" s="7">
        <f>174*0.4</f>
        <v>69.600000000000009</v>
      </c>
      <c r="L64" s="15">
        <f>0.18*0.4</f>
        <v>7.1999999999999995E-2</v>
      </c>
      <c r="M64" s="7">
        <v>0</v>
      </c>
      <c r="N64" s="15">
        <v>0</v>
      </c>
      <c r="O64" s="7">
        <f>1.4*0.4</f>
        <v>0.55999999999999994</v>
      </c>
      <c r="P64" s="9">
        <f>35*0.4</f>
        <v>14</v>
      </c>
      <c r="Q64" s="9">
        <f>158*0.4</f>
        <v>63.2</v>
      </c>
      <c r="R64" s="7">
        <f>47*0.4</f>
        <v>18.8</v>
      </c>
      <c r="S64" s="7">
        <f>3.9*0.4</f>
        <v>1.56</v>
      </c>
      <c r="T64" s="48"/>
    </row>
    <row r="65" spans="1:20" ht="18.75" customHeight="1" x14ac:dyDescent="0.35">
      <c r="A65" s="8" t="s">
        <v>55</v>
      </c>
      <c r="B65" s="37" t="s">
        <v>73</v>
      </c>
      <c r="C65" s="53"/>
      <c r="D65" s="53"/>
      <c r="E65" s="53"/>
      <c r="F65" s="54"/>
      <c r="G65" s="8">
        <v>200</v>
      </c>
      <c r="H65" s="7">
        <f>1.73*0.2</f>
        <v>0.34600000000000003</v>
      </c>
      <c r="I65" s="7">
        <f>0.38*0.1</f>
        <v>3.8000000000000006E-2</v>
      </c>
      <c r="J65" s="7">
        <f>149.25*0.2</f>
        <v>29.85</v>
      </c>
      <c r="K65" s="7">
        <f>611*0.2</f>
        <v>122.2</v>
      </c>
      <c r="L65" s="15">
        <f>0.11*0.2</f>
        <v>2.2000000000000002E-2</v>
      </c>
      <c r="M65" s="7">
        <v>0</v>
      </c>
      <c r="N65" s="15">
        <v>0</v>
      </c>
      <c r="O65" s="7">
        <v>0</v>
      </c>
      <c r="P65" s="9">
        <f>101.6*0.2</f>
        <v>20.32</v>
      </c>
      <c r="Q65" s="9">
        <f>96.8*0.2</f>
        <v>19.36</v>
      </c>
      <c r="R65" s="7">
        <f>40.6*0.2</f>
        <v>8.120000000000001</v>
      </c>
      <c r="S65" s="7">
        <f>2.25*0.2</f>
        <v>0.45</v>
      </c>
      <c r="T65" s="48"/>
    </row>
    <row r="66" spans="1:20" x14ac:dyDescent="0.35">
      <c r="A66" s="12"/>
      <c r="B66" s="50" t="s">
        <v>9</v>
      </c>
      <c r="C66" s="50"/>
      <c r="D66" s="50"/>
      <c r="E66" s="50"/>
      <c r="F66" s="50"/>
      <c r="G66" s="35">
        <f>G65+G64+G63+G62+G61+G60+G59+G58</f>
        <v>965</v>
      </c>
      <c r="H66" s="30">
        <f>SUM(H58:H65)</f>
        <v>39.41599999999999</v>
      </c>
      <c r="I66" s="30">
        <f>SUM(I58:I65)</f>
        <v>38.597999999999992</v>
      </c>
      <c r="J66" s="30">
        <f>SUM(J58:J65)</f>
        <v>134.595</v>
      </c>
      <c r="K66" s="30">
        <f>SUM(K58:K65)</f>
        <v>1048.1500000000001</v>
      </c>
      <c r="L66" s="21">
        <f t="shared" ref="L66:S66" si="6">SUM(L58:L65)</f>
        <v>0.40975000000000006</v>
      </c>
      <c r="M66" s="20">
        <f t="shared" si="6"/>
        <v>41.38</v>
      </c>
      <c r="N66" s="21">
        <f t="shared" si="6"/>
        <v>40.389249999999997</v>
      </c>
      <c r="O66" s="20">
        <f t="shared" si="6"/>
        <v>8.5399999999999991</v>
      </c>
      <c r="P66" s="22">
        <f t="shared" si="6"/>
        <v>329.04500000000002</v>
      </c>
      <c r="Q66" s="22">
        <f t="shared" si="6"/>
        <v>607.56000000000006</v>
      </c>
      <c r="R66" s="20">
        <f t="shared" si="6"/>
        <v>142.72</v>
      </c>
      <c r="S66" s="20">
        <f t="shared" si="6"/>
        <v>8.99</v>
      </c>
      <c r="T66" s="48"/>
    </row>
    <row r="67" spans="1:20" x14ac:dyDescent="0.35">
      <c r="A67" s="51" t="s">
        <v>20</v>
      </c>
      <c r="B67" s="40"/>
      <c r="C67" s="40"/>
      <c r="D67" s="40"/>
      <c r="E67" s="40"/>
      <c r="F67" s="41"/>
      <c r="G67" s="13"/>
      <c r="H67" s="20"/>
      <c r="I67" s="20"/>
      <c r="J67" s="20"/>
      <c r="K67" s="20"/>
      <c r="L67" s="21"/>
      <c r="M67" s="20"/>
      <c r="N67" s="21"/>
      <c r="O67" s="20"/>
      <c r="P67" s="22"/>
      <c r="Q67" s="22"/>
      <c r="R67" s="20"/>
      <c r="S67" s="20"/>
      <c r="T67" s="48"/>
    </row>
    <row r="68" spans="1:20" ht="16.5" customHeight="1" x14ac:dyDescent="0.35">
      <c r="A68" s="8" t="s">
        <v>74</v>
      </c>
      <c r="B68" s="37" t="s">
        <v>75</v>
      </c>
      <c r="C68" s="53"/>
      <c r="D68" s="53"/>
      <c r="E68" s="53"/>
      <c r="F68" s="54"/>
      <c r="G68" s="8">
        <v>200</v>
      </c>
      <c r="H68" s="7">
        <v>0.1</v>
      </c>
      <c r="I68" s="7">
        <v>0.1</v>
      </c>
      <c r="J68" s="7">
        <v>10.9</v>
      </c>
      <c r="K68" s="7">
        <v>45</v>
      </c>
      <c r="L68" s="15">
        <v>0</v>
      </c>
      <c r="M68" s="7">
        <v>0.7</v>
      </c>
      <c r="N68" s="15">
        <v>0</v>
      </c>
      <c r="O68" s="7">
        <v>0.2</v>
      </c>
      <c r="P68" s="9">
        <v>5.4</v>
      </c>
      <c r="Q68" s="9">
        <v>3</v>
      </c>
      <c r="R68" s="7">
        <v>1.3</v>
      </c>
      <c r="S68" s="7">
        <v>0.11</v>
      </c>
      <c r="T68" s="48"/>
    </row>
    <row r="69" spans="1:20" ht="37.5" customHeight="1" x14ac:dyDescent="0.35">
      <c r="A69" s="8" t="s">
        <v>77</v>
      </c>
      <c r="B69" s="42" t="s">
        <v>76</v>
      </c>
      <c r="C69" s="43"/>
      <c r="D69" s="43"/>
      <c r="E69" s="43"/>
      <c r="F69" s="44"/>
      <c r="G69" s="24">
        <v>180</v>
      </c>
      <c r="H69" s="7">
        <f>13.1+72*0.03</f>
        <v>15.26</v>
      </c>
      <c r="I69" s="7">
        <f>15.6*120/150+85*0.03</f>
        <v>15.030000000000001</v>
      </c>
      <c r="J69" s="7">
        <f>27.3+555*0.03</f>
        <v>43.95</v>
      </c>
      <c r="K69" s="7">
        <f>290+3280*0.03</f>
        <v>388.4</v>
      </c>
      <c r="L69" s="15">
        <f>0.11+0.6*0.03</f>
        <v>0.128</v>
      </c>
      <c r="M69" s="7">
        <f>2.4+10*0.03</f>
        <v>2.6999999999999997</v>
      </c>
      <c r="N69" s="15">
        <f>0.1+0.42*0.03</f>
        <v>0.11260000000000001</v>
      </c>
      <c r="O69" s="7">
        <f>0.1+2*0.03</f>
        <v>0.16</v>
      </c>
      <c r="P69" s="9">
        <f>146+3070*0.03</f>
        <v>238.1</v>
      </c>
      <c r="Q69" s="9">
        <f>216+2190*0.03</f>
        <v>281.7</v>
      </c>
      <c r="R69" s="7">
        <f>53+340*0.03</f>
        <v>63.2</v>
      </c>
      <c r="S69" s="7">
        <f>1.4+2*0.03</f>
        <v>1.46</v>
      </c>
      <c r="T69" s="48"/>
    </row>
    <row r="70" spans="1:20" x14ac:dyDescent="0.35">
      <c r="A70" s="12"/>
      <c r="B70" s="51"/>
      <c r="C70" s="50"/>
      <c r="D70" s="50"/>
      <c r="E70" s="50"/>
      <c r="F70" s="52"/>
      <c r="G70" s="13">
        <f>G69+G68</f>
        <v>380</v>
      </c>
      <c r="H70" s="20">
        <f t="shared" ref="H70:S70" si="7">SUM(H68:H69)</f>
        <v>15.36</v>
      </c>
      <c r="I70" s="20">
        <f t="shared" si="7"/>
        <v>15.13</v>
      </c>
      <c r="J70" s="20">
        <f t="shared" si="7"/>
        <v>54.85</v>
      </c>
      <c r="K70" s="20">
        <f t="shared" si="7"/>
        <v>433.4</v>
      </c>
      <c r="L70" s="21">
        <f t="shared" si="7"/>
        <v>0.128</v>
      </c>
      <c r="M70" s="20">
        <f t="shared" si="7"/>
        <v>3.3999999999999995</v>
      </c>
      <c r="N70" s="21">
        <f t="shared" si="7"/>
        <v>0.11260000000000001</v>
      </c>
      <c r="O70" s="20">
        <f t="shared" si="7"/>
        <v>0.36</v>
      </c>
      <c r="P70" s="22">
        <f t="shared" si="7"/>
        <v>243.5</v>
      </c>
      <c r="Q70" s="22">
        <f t="shared" si="7"/>
        <v>284.7</v>
      </c>
      <c r="R70" s="20">
        <f t="shared" si="7"/>
        <v>64.5</v>
      </c>
      <c r="S70" s="20">
        <f t="shared" si="7"/>
        <v>1.57</v>
      </c>
      <c r="T70" s="48"/>
    </row>
    <row r="71" spans="1:20" x14ac:dyDescent="0.35">
      <c r="A71" s="12"/>
      <c r="B71" s="50" t="s">
        <v>27</v>
      </c>
      <c r="C71" s="50"/>
      <c r="D71" s="50"/>
      <c r="E71" s="50"/>
      <c r="F71" s="50"/>
      <c r="G71" s="23"/>
      <c r="H71" s="20"/>
      <c r="I71" s="20"/>
      <c r="J71" s="20"/>
      <c r="K71" s="20"/>
      <c r="L71" s="21"/>
      <c r="M71" s="20"/>
      <c r="N71" s="21"/>
      <c r="O71" s="20"/>
      <c r="P71" s="22"/>
      <c r="Q71" s="22"/>
      <c r="R71" s="20"/>
      <c r="S71" s="20"/>
      <c r="T71" s="48"/>
    </row>
    <row r="72" spans="1:20" x14ac:dyDescent="0.35">
      <c r="A72" s="51" t="s">
        <v>21</v>
      </c>
      <c r="B72" s="40"/>
      <c r="C72" s="40"/>
      <c r="D72" s="40"/>
      <c r="E72" s="40"/>
      <c r="F72" s="41"/>
      <c r="G72" s="13"/>
      <c r="H72" s="20"/>
      <c r="I72" s="20"/>
      <c r="J72" s="20"/>
      <c r="K72" s="20"/>
      <c r="L72" s="21"/>
      <c r="M72" s="20"/>
      <c r="N72" s="21"/>
      <c r="O72" s="20"/>
      <c r="P72" s="22"/>
      <c r="Q72" s="22"/>
      <c r="R72" s="20"/>
      <c r="S72" s="20"/>
      <c r="T72" s="48"/>
    </row>
    <row r="73" spans="1:20" ht="21.75" customHeight="1" x14ac:dyDescent="0.35">
      <c r="A73" s="8" t="s">
        <v>82</v>
      </c>
      <c r="B73" s="42" t="s">
        <v>83</v>
      </c>
      <c r="C73" s="43"/>
      <c r="D73" s="43"/>
      <c r="E73" s="43"/>
      <c r="F73" s="44"/>
      <c r="G73" s="14">
        <v>100</v>
      </c>
      <c r="H73" s="7">
        <f>1.5</f>
        <v>1.5</v>
      </c>
      <c r="I73" s="7">
        <f>6.2</f>
        <v>6.2</v>
      </c>
      <c r="J73" s="7">
        <f>5.4</f>
        <v>5.4</v>
      </c>
      <c r="K73" s="7">
        <f>83</f>
        <v>83</v>
      </c>
      <c r="L73" s="15">
        <f>0.04</f>
        <v>0.04</v>
      </c>
      <c r="M73" s="7">
        <f>11</f>
        <v>11</v>
      </c>
      <c r="N73" s="15">
        <f>0</f>
        <v>0</v>
      </c>
      <c r="O73" s="7">
        <f>3</f>
        <v>3</v>
      </c>
      <c r="P73" s="9">
        <f>36</f>
        <v>36</v>
      </c>
      <c r="Q73" s="9">
        <f>31.7</f>
        <v>31.7</v>
      </c>
      <c r="R73" s="7">
        <f>24</f>
        <v>24</v>
      </c>
      <c r="S73" s="7">
        <f>1</f>
        <v>1</v>
      </c>
      <c r="T73" s="48"/>
    </row>
    <row r="74" spans="1:20" ht="18.75" customHeight="1" x14ac:dyDescent="0.35">
      <c r="A74" s="8" t="s">
        <v>45</v>
      </c>
      <c r="B74" s="42" t="s">
        <v>12</v>
      </c>
      <c r="C74" s="43"/>
      <c r="D74" s="43"/>
      <c r="E74" s="43"/>
      <c r="F74" s="44"/>
      <c r="G74" s="14">
        <v>100</v>
      </c>
      <c r="H74" s="7">
        <v>11</v>
      </c>
      <c r="I74" s="7">
        <v>11.7</v>
      </c>
      <c r="J74" s="7">
        <v>7.8</v>
      </c>
      <c r="K74" s="7">
        <v>180</v>
      </c>
      <c r="L74" s="15">
        <v>0.05</v>
      </c>
      <c r="M74" s="7">
        <v>0.1</v>
      </c>
      <c r="N74" s="15">
        <v>0.01</v>
      </c>
      <c r="O74" s="7">
        <v>0.6</v>
      </c>
      <c r="P74" s="33">
        <v>10</v>
      </c>
      <c r="Q74" s="33">
        <v>101</v>
      </c>
      <c r="R74" s="7">
        <v>13</v>
      </c>
      <c r="S74" s="7">
        <v>1.6</v>
      </c>
      <c r="T74" s="48"/>
    </row>
    <row r="75" spans="1:20" ht="15" customHeight="1" x14ac:dyDescent="0.35">
      <c r="A75" s="8" t="s">
        <v>80</v>
      </c>
      <c r="B75" s="42" t="s">
        <v>81</v>
      </c>
      <c r="C75" s="45"/>
      <c r="D75" s="45"/>
      <c r="E75" s="45"/>
      <c r="F75" s="46"/>
      <c r="G75" s="14">
        <v>180</v>
      </c>
      <c r="H75" s="7">
        <f>3*1.8</f>
        <v>5.4</v>
      </c>
      <c r="I75" s="7">
        <f>3.8*1.8</f>
        <v>6.84</v>
      </c>
      <c r="J75" s="7">
        <f>8.6*1.8</f>
        <v>15.48</v>
      </c>
      <c r="K75" s="7">
        <f>81*1.8</f>
        <v>145.80000000000001</v>
      </c>
      <c r="L75" s="15">
        <f>0.1*1.8</f>
        <v>0.18000000000000002</v>
      </c>
      <c r="M75" s="7">
        <f>2.8*1.8</f>
        <v>5.04</v>
      </c>
      <c r="N75" s="15">
        <f>15.4*1.8</f>
        <v>27.720000000000002</v>
      </c>
      <c r="O75" s="7">
        <f>1.5*1.8</f>
        <v>2.7</v>
      </c>
      <c r="P75" s="9">
        <f>22.2*1.8</f>
        <v>39.96</v>
      </c>
      <c r="Q75" s="9">
        <f>60.8*1.8</f>
        <v>109.44</v>
      </c>
      <c r="R75" s="7">
        <f>19.7*1.8</f>
        <v>35.46</v>
      </c>
      <c r="S75" s="7">
        <f>0.78*1.8</f>
        <v>1.4040000000000001</v>
      </c>
      <c r="T75" s="48"/>
    </row>
    <row r="76" spans="1:20" ht="15" customHeight="1" x14ac:dyDescent="0.35">
      <c r="A76" s="8" t="s">
        <v>5</v>
      </c>
      <c r="B76" s="37" t="s">
        <v>7</v>
      </c>
      <c r="C76" s="40"/>
      <c r="D76" s="40"/>
      <c r="E76" s="40"/>
      <c r="F76" s="41"/>
      <c r="G76" s="16" t="s">
        <v>43</v>
      </c>
      <c r="H76" s="7">
        <f>7.6*0.4</f>
        <v>3.04</v>
      </c>
      <c r="I76" s="7">
        <f>0.8*0.4</f>
        <v>0.32000000000000006</v>
      </c>
      <c r="J76" s="7">
        <f>49.2*0.4</f>
        <v>19.680000000000003</v>
      </c>
      <c r="K76" s="7">
        <f>235*0.4</f>
        <v>94</v>
      </c>
      <c r="L76" s="15">
        <f>0.11*0.4</f>
        <v>4.4000000000000004E-2</v>
      </c>
      <c r="M76" s="7">
        <v>0</v>
      </c>
      <c r="N76" s="15">
        <v>0</v>
      </c>
      <c r="O76" s="7">
        <f>1.1*0.4</f>
        <v>0.44000000000000006</v>
      </c>
      <c r="P76" s="9">
        <f>20*0.4</f>
        <v>8</v>
      </c>
      <c r="Q76" s="9">
        <f>65*0.4</f>
        <v>26</v>
      </c>
      <c r="R76" s="7">
        <f>14*0.4</f>
        <v>5.6000000000000005</v>
      </c>
      <c r="S76" s="7">
        <f>30.3*0.4</f>
        <v>12.120000000000001</v>
      </c>
      <c r="T76" s="48"/>
    </row>
    <row r="77" spans="1:20" x14ac:dyDescent="0.35">
      <c r="A77" s="8" t="s">
        <v>47</v>
      </c>
      <c r="B77" s="37" t="s">
        <v>57</v>
      </c>
      <c r="C77" s="53"/>
      <c r="D77" s="53"/>
      <c r="E77" s="53"/>
      <c r="F77" s="54"/>
      <c r="G77" s="24">
        <v>200</v>
      </c>
      <c r="H77" s="7">
        <v>0.5</v>
      </c>
      <c r="I77" s="7">
        <v>0.2</v>
      </c>
      <c r="J77" s="7">
        <v>32.4</v>
      </c>
      <c r="K77" s="7">
        <v>133</v>
      </c>
      <c r="L77" s="31">
        <v>0</v>
      </c>
      <c r="M77" s="32">
        <v>2</v>
      </c>
      <c r="N77" s="31">
        <v>0</v>
      </c>
      <c r="O77" s="7">
        <v>0.2</v>
      </c>
      <c r="P77" s="9">
        <v>16</v>
      </c>
      <c r="Q77" s="9">
        <v>16</v>
      </c>
      <c r="R77" s="7">
        <v>6</v>
      </c>
      <c r="S77" s="7">
        <v>1.5</v>
      </c>
      <c r="T77" s="48"/>
    </row>
    <row r="78" spans="1:20" x14ac:dyDescent="0.35">
      <c r="A78" s="12"/>
      <c r="B78" s="50" t="s">
        <v>24</v>
      </c>
      <c r="C78" s="50"/>
      <c r="D78" s="50"/>
      <c r="E78" s="50"/>
      <c r="F78" s="50"/>
      <c r="G78" s="36">
        <f>G77+G76+G75+G74+G73</f>
        <v>620</v>
      </c>
      <c r="H78" s="20">
        <f t="shared" ref="H78:S78" si="8">SUM(H73:H77)</f>
        <v>21.439999999999998</v>
      </c>
      <c r="I78" s="30">
        <f t="shared" si="8"/>
        <v>25.259999999999998</v>
      </c>
      <c r="J78" s="30">
        <f t="shared" si="8"/>
        <v>80.759999999999991</v>
      </c>
      <c r="K78" s="20">
        <f t="shared" si="8"/>
        <v>635.79999999999995</v>
      </c>
      <c r="L78" s="21">
        <f t="shared" si="8"/>
        <v>0.314</v>
      </c>
      <c r="M78" s="20">
        <f t="shared" si="8"/>
        <v>18.14</v>
      </c>
      <c r="N78" s="21">
        <f t="shared" si="8"/>
        <v>27.730000000000004</v>
      </c>
      <c r="O78" s="20">
        <f t="shared" si="8"/>
        <v>6.9400000000000013</v>
      </c>
      <c r="P78" s="22">
        <f t="shared" si="8"/>
        <v>109.96000000000001</v>
      </c>
      <c r="Q78" s="22">
        <f t="shared" si="8"/>
        <v>284.14</v>
      </c>
      <c r="R78" s="20">
        <f t="shared" si="8"/>
        <v>84.06</v>
      </c>
      <c r="S78" s="20">
        <f t="shared" si="8"/>
        <v>17.624000000000002</v>
      </c>
      <c r="T78" s="48"/>
    </row>
    <row r="79" spans="1:20" x14ac:dyDescent="0.35">
      <c r="A79" s="51" t="s">
        <v>22</v>
      </c>
      <c r="B79" s="40"/>
      <c r="C79" s="40"/>
      <c r="D79" s="40"/>
      <c r="E79" s="40"/>
      <c r="F79" s="41"/>
      <c r="G79" s="13"/>
      <c r="H79" s="20"/>
      <c r="I79" s="20"/>
      <c r="J79" s="20"/>
      <c r="K79" s="20"/>
      <c r="L79" s="21"/>
      <c r="M79" s="20"/>
      <c r="N79" s="21"/>
      <c r="O79" s="20"/>
      <c r="P79" s="22"/>
      <c r="Q79" s="22"/>
      <c r="R79" s="20"/>
      <c r="S79" s="20"/>
      <c r="T79" s="48"/>
    </row>
    <row r="80" spans="1:20" ht="22.5" customHeight="1" x14ac:dyDescent="0.35">
      <c r="A80" s="8" t="s">
        <v>71</v>
      </c>
      <c r="B80" s="37" t="s">
        <v>72</v>
      </c>
      <c r="C80" s="53"/>
      <c r="D80" s="53"/>
      <c r="E80" s="53"/>
      <c r="F80" s="54"/>
      <c r="G80" s="24">
        <v>200</v>
      </c>
      <c r="H80" s="7">
        <v>5.4</v>
      </c>
      <c r="I80" s="7">
        <v>5</v>
      </c>
      <c r="J80" s="7">
        <v>21.6</v>
      </c>
      <c r="K80" s="7">
        <v>158</v>
      </c>
      <c r="L80" s="15">
        <v>0.06</v>
      </c>
      <c r="M80" s="7">
        <v>1.8</v>
      </c>
      <c r="N80" s="15">
        <v>40</v>
      </c>
      <c r="O80" s="34">
        <v>0</v>
      </c>
      <c r="P80" s="9">
        <v>242</v>
      </c>
      <c r="Q80" s="9">
        <v>188</v>
      </c>
      <c r="R80" s="7">
        <v>30</v>
      </c>
      <c r="S80" s="7">
        <v>0.2</v>
      </c>
      <c r="T80" s="48"/>
    </row>
    <row r="81" spans="1:20" x14ac:dyDescent="0.35">
      <c r="A81" s="10"/>
      <c r="B81" s="50" t="s">
        <v>26</v>
      </c>
      <c r="C81" s="50"/>
      <c r="D81" s="50"/>
      <c r="E81" s="50"/>
      <c r="F81" s="50"/>
      <c r="G81" s="6"/>
      <c r="H81" s="20">
        <f t="shared" ref="H81:S81" si="9">SUM(H80:H80)</f>
        <v>5.4</v>
      </c>
      <c r="I81" s="20">
        <f t="shared" si="9"/>
        <v>5</v>
      </c>
      <c r="J81" s="20">
        <f t="shared" si="9"/>
        <v>21.6</v>
      </c>
      <c r="K81" s="20">
        <f t="shared" si="9"/>
        <v>158</v>
      </c>
      <c r="L81" s="21">
        <f t="shared" si="9"/>
        <v>0.06</v>
      </c>
      <c r="M81" s="20">
        <f t="shared" si="9"/>
        <v>1.8</v>
      </c>
      <c r="N81" s="21">
        <f t="shared" si="9"/>
        <v>40</v>
      </c>
      <c r="O81" s="20">
        <f t="shared" si="9"/>
        <v>0</v>
      </c>
      <c r="P81" s="22">
        <f t="shared" si="9"/>
        <v>242</v>
      </c>
      <c r="Q81" s="22">
        <f t="shared" si="9"/>
        <v>188</v>
      </c>
      <c r="R81" s="20">
        <f t="shared" si="9"/>
        <v>30</v>
      </c>
      <c r="S81" s="20">
        <f t="shared" si="9"/>
        <v>0.2</v>
      </c>
      <c r="T81" s="48"/>
    </row>
    <row r="82" spans="1:20" x14ac:dyDescent="0.35">
      <c r="A82" s="51" t="s">
        <v>25</v>
      </c>
      <c r="B82" s="50"/>
      <c r="C82" s="50"/>
      <c r="D82" s="50"/>
      <c r="E82" s="50"/>
      <c r="F82" s="50"/>
      <c r="G82" s="52"/>
      <c r="H82" s="20">
        <f>H56+H66+H70+H78+H81</f>
        <v>102.99099999999999</v>
      </c>
      <c r="I82" s="20">
        <f>I56+I66+I70+I78+I81</f>
        <v>112.85299999999998</v>
      </c>
      <c r="J82" s="20">
        <f>J66+J56+J70+J78+J81</f>
        <v>395.625</v>
      </c>
      <c r="K82" s="20">
        <f>K66+K56+K70+K78+K81</f>
        <v>3030.1000000000004</v>
      </c>
      <c r="L82" s="21">
        <f>L56+L66+L70+L78+L81</f>
        <v>1.2077500000000001</v>
      </c>
      <c r="M82" s="20">
        <f>M56+M66+M70+M78+M81</f>
        <v>427.94499999999999</v>
      </c>
      <c r="N82" s="21">
        <f>N56+N66+N70+N78+N81</f>
        <v>208.97834999999998</v>
      </c>
      <c r="O82" s="20">
        <f>O56+O66+O70+O78+O81</f>
        <v>18.185000000000002</v>
      </c>
      <c r="P82" s="22">
        <f>P66+P56+P70+P78+P81</f>
        <v>1280.4549999999999</v>
      </c>
      <c r="Q82" s="22">
        <f>Q56+Q66+Q70+Q78+Q81</f>
        <v>1818.35</v>
      </c>
      <c r="R82" s="20">
        <f>R56+R66+R70+R78+R81</f>
        <v>474.38</v>
      </c>
      <c r="S82" s="20">
        <f>S56+S66+S70+S78+S81</f>
        <v>31.984000000000002</v>
      </c>
      <c r="T82" s="49"/>
    </row>
  </sheetData>
  <mergeCells count="88">
    <mergeCell ref="B81:F81"/>
    <mergeCell ref="B61:F61"/>
    <mergeCell ref="B70:F70"/>
    <mergeCell ref="B73:F73"/>
    <mergeCell ref="B80:F80"/>
    <mergeCell ref="B77:F77"/>
    <mergeCell ref="A79:F79"/>
    <mergeCell ref="B63:F63"/>
    <mergeCell ref="B64:F64"/>
    <mergeCell ref="B65:F65"/>
    <mergeCell ref="B68:F68"/>
    <mergeCell ref="B69:F69"/>
    <mergeCell ref="A57:F57"/>
    <mergeCell ref="B58:F58"/>
    <mergeCell ref="B59:F59"/>
    <mergeCell ref="B60:F60"/>
    <mergeCell ref="B62:F62"/>
    <mergeCell ref="A49:F49"/>
    <mergeCell ref="B50:F50"/>
    <mergeCell ref="B51:F51"/>
    <mergeCell ref="B54:F54"/>
    <mergeCell ref="B52:F52"/>
    <mergeCell ref="A4:C4"/>
    <mergeCell ref="A5:A6"/>
    <mergeCell ref="B15:F15"/>
    <mergeCell ref="B13:F13"/>
    <mergeCell ref="B14:F14"/>
    <mergeCell ref="H46:J46"/>
    <mergeCell ref="K46:K47"/>
    <mergeCell ref="L46:O46"/>
    <mergeCell ref="P46:S46"/>
    <mergeCell ref="A45:C45"/>
    <mergeCell ref="A31:F31"/>
    <mergeCell ref="A38:F38"/>
    <mergeCell ref="B34:F34"/>
    <mergeCell ref="B39:F39"/>
    <mergeCell ref="L5:O5"/>
    <mergeCell ref="P5:S5"/>
    <mergeCell ref="B5:F6"/>
    <mergeCell ref="G5:G6"/>
    <mergeCell ref="H5:J5"/>
    <mergeCell ref="K5:K6"/>
    <mergeCell ref="T5:T41"/>
    <mergeCell ref="A16:F16"/>
    <mergeCell ref="B17:F17"/>
    <mergeCell ref="B27:F27"/>
    <mergeCell ref="B29:F29"/>
    <mergeCell ref="B30:F30"/>
    <mergeCell ref="B32:F32"/>
    <mergeCell ref="B18:F18"/>
    <mergeCell ref="B19:F19"/>
    <mergeCell ref="B20:F20"/>
    <mergeCell ref="B7:F7"/>
    <mergeCell ref="A8:F8"/>
    <mergeCell ref="B9:F9"/>
    <mergeCell ref="B10:F10"/>
    <mergeCell ref="B11:F11"/>
    <mergeCell ref="B33:F33"/>
    <mergeCell ref="B22:F22"/>
    <mergeCell ref="B21:F21"/>
    <mergeCell ref="B12:F12"/>
    <mergeCell ref="B23:F23"/>
    <mergeCell ref="B24:F24"/>
    <mergeCell ref="B25:F25"/>
    <mergeCell ref="A26:F26"/>
    <mergeCell ref="B36:F36"/>
    <mergeCell ref="B35:F35"/>
    <mergeCell ref="B28:F28"/>
    <mergeCell ref="A82:G82"/>
    <mergeCell ref="B55:F55"/>
    <mergeCell ref="B56:F56"/>
    <mergeCell ref="B37:F37"/>
    <mergeCell ref="B40:F40"/>
    <mergeCell ref="A41:G41"/>
    <mergeCell ref="A46:A47"/>
    <mergeCell ref="B46:F47"/>
    <mergeCell ref="G46:G47"/>
    <mergeCell ref="B48:F48"/>
    <mergeCell ref="B53:F53"/>
    <mergeCell ref="B76:F76"/>
    <mergeCell ref="B74:F74"/>
    <mergeCell ref="B75:F75"/>
    <mergeCell ref="T46:T82"/>
    <mergeCell ref="B66:F66"/>
    <mergeCell ref="A67:F67"/>
    <mergeCell ref="B71:F71"/>
    <mergeCell ref="A72:F72"/>
    <mergeCell ref="B78:F78"/>
  </mergeCells>
  <pageMargins left="0.98425196850393704" right="0.19685039370078741" top="0.31496062992125984" bottom="0.35433070866141736" header="0.31496062992125984" footer="0.31496062992125984"/>
  <pageSetup paperSize="9" scale="72" orientation="landscape" r:id="rId1"/>
  <headerFooter alignWithMargins="0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Julia Efremtseva</cp:lastModifiedBy>
  <cp:revision>4</cp:revision>
  <cp:lastPrinted>2023-08-29T03:50:55Z</cp:lastPrinted>
  <dcterms:created xsi:type="dcterms:W3CDTF">2015-09-19T14:17:06Z</dcterms:created>
  <dcterms:modified xsi:type="dcterms:W3CDTF">2023-09-21T08:54:15Z</dcterms:modified>
</cp:coreProperties>
</file>