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E5550F8A-7FEF-473C-AFC4-7F5293FA156E}" xr6:coauthVersionLast="47" xr6:coauthVersionMax="47" xr10:uidLastSave="{00000000-0000-0000-0000-000000000000}"/>
  <bookViews>
    <workbookView xWindow="-110" yWindow="-110" windowWidth="19420" windowHeight="10420"/>
  </bookViews>
  <sheets>
    <sheet name="10" sheetId="10" r:id="rId1"/>
  </sheets>
  <definedNames>
    <definedName name="_xlnm.Print_Area" localSheetId="0">'10'!$A$1:$T$78</definedName>
  </definedNames>
  <calcPr calcId="181029"/>
</workbook>
</file>

<file path=xl/calcChain.xml><?xml version="1.0" encoding="utf-8"?>
<calcChain xmlns="http://schemas.openxmlformats.org/spreadsheetml/2006/main">
  <c r="S26" i="10" l="1"/>
  <c r="R26" i="10"/>
  <c r="Q26" i="10"/>
  <c r="P26" i="10"/>
  <c r="O26" i="10"/>
  <c r="O27" i="10"/>
  <c r="N26" i="10"/>
  <c r="N27" i="10"/>
  <c r="M26" i="10"/>
  <c r="L26" i="10"/>
  <c r="K26" i="10"/>
  <c r="J26" i="10"/>
  <c r="J27" i="10"/>
  <c r="I26" i="10"/>
  <c r="H26" i="10"/>
  <c r="G14" i="10"/>
  <c r="S12" i="10"/>
  <c r="R12" i="10"/>
  <c r="Q12" i="10"/>
  <c r="P12" i="10"/>
  <c r="P14" i="10"/>
  <c r="O12" i="10"/>
  <c r="M12" i="10"/>
  <c r="L12" i="10"/>
  <c r="L14" i="10"/>
  <c r="K12" i="10"/>
  <c r="J12" i="10"/>
  <c r="I12" i="10"/>
  <c r="H12" i="10"/>
  <c r="G53" i="10"/>
  <c r="S51" i="10"/>
  <c r="S53" i="10"/>
  <c r="R51" i="10"/>
  <c r="Q51" i="10"/>
  <c r="P51" i="10"/>
  <c r="O51" i="10"/>
  <c r="M51" i="10"/>
  <c r="L51" i="10"/>
  <c r="L53" i="10"/>
  <c r="K51" i="10"/>
  <c r="K53" i="10"/>
  <c r="J51" i="10"/>
  <c r="I51" i="10"/>
  <c r="H51" i="10"/>
  <c r="H53" i="10"/>
  <c r="P76" i="10"/>
  <c r="P37" i="10"/>
  <c r="S48" i="10"/>
  <c r="R48" i="10"/>
  <c r="R53" i="10"/>
  <c r="Q48" i="10"/>
  <c r="P48" i="10"/>
  <c r="O48" i="10"/>
  <c r="N48" i="10"/>
  <c r="N53" i="10"/>
  <c r="M48" i="10"/>
  <c r="M53" i="10"/>
  <c r="L48" i="10"/>
  <c r="K48" i="10"/>
  <c r="J48" i="10"/>
  <c r="I48" i="10"/>
  <c r="H48" i="10"/>
  <c r="S9" i="10"/>
  <c r="R9" i="10"/>
  <c r="R14" i="10"/>
  <c r="Q9" i="10"/>
  <c r="P9" i="10"/>
  <c r="O9" i="10"/>
  <c r="O14" i="10"/>
  <c r="N9" i="10"/>
  <c r="N14" i="10"/>
  <c r="M9" i="10"/>
  <c r="M14" i="10"/>
  <c r="L9" i="10"/>
  <c r="K9" i="10"/>
  <c r="K14" i="10"/>
  <c r="J9" i="10"/>
  <c r="I9" i="10"/>
  <c r="I14" i="10"/>
  <c r="H9" i="10"/>
  <c r="H30" i="10"/>
  <c r="H35" i="10"/>
  <c r="I30" i="10"/>
  <c r="J30" i="10"/>
  <c r="K30" i="10"/>
  <c r="L30" i="10"/>
  <c r="M30" i="10"/>
  <c r="N30" i="10"/>
  <c r="O30" i="10"/>
  <c r="P30" i="10"/>
  <c r="Q30" i="10"/>
  <c r="R30" i="10"/>
  <c r="S30" i="10"/>
  <c r="S3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32" i="10"/>
  <c r="R32" i="10"/>
  <c r="Q32" i="10"/>
  <c r="P32" i="10"/>
  <c r="O32" i="10"/>
  <c r="L32" i="10"/>
  <c r="K32" i="10"/>
  <c r="J32" i="10"/>
  <c r="J35" i="10"/>
  <c r="I32" i="10"/>
  <c r="H32" i="10"/>
  <c r="S72" i="10"/>
  <c r="R72" i="10"/>
  <c r="Q72" i="10"/>
  <c r="P72" i="10"/>
  <c r="O72" i="10"/>
  <c r="L72" i="10"/>
  <c r="K72" i="10"/>
  <c r="J72" i="10"/>
  <c r="I72" i="10"/>
  <c r="H72" i="10"/>
  <c r="S71" i="10"/>
  <c r="R71" i="10"/>
  <c r="Q71" i="10"/>
  <c r="P71" i="10"/>
  <c r="O71" i="10"/>
  <c r="L71" i="10"/>
  <c r="K71" i="10"/>
  <c r="J71" i="10"/>
  <c r="I71" i="10"/>
  <c r="H71" i="10"/>
  <c r="S70" i="10"/>
  <c r="R70" i="10"/>
  <c r="Q70" i="10"/>
  <c r="P70" i="10"/>
  <c r="O70" i="10"/>
  <c r="N70" i="10"/>
  <c r="N74" i="10"/>
  <c r="M70" i="10"/>
  <c r="L70" i="10"/>
  <c r="K70" i="10"/>
  <c r="J70" i="10"/>
  <c r="I70" i="10"/>
  <c r="H70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66" i="10"/>
  <c r="G62" i="10"/>
  <c r="S60" i="10"/>
  <c r="R60" i="10"/>
  <c r="Q60" i="10"/>
  <c r="P60" i="10"/>
  <c r="O60" i="10"/>
  <c r="O62" i="10"/>
  <c r="L60" i="10"/>
  <c r="K60" i="10"/>
  <c r="J60" i="10"/>
  <c r="I60" i="10"/>
  <c r="H60" i="10"/>
  <c r="S59" i="10"/>
  <c r="R59" i="10"/>
  <c r="Q59" i="10"/>
  <c r="P59" i="10"/>
  <c r="O59" i="10"/>
  <c r="L59" i="10"/>
  <c r="K59" i="10"/>
  <c r="J59" i="10"/>
  <c r="I59" i="10"/>
  <c r="H59" i="10"/>
  <c r="S58" i="10"/>
  <c r="R58" i="10"/>
  <c r="Q58" i="10"/>
  <c r="P58" i="10"/>
  <c r="L58" i="10"/>
  <c r="K58" i="10"/>
  <c r="J58" i="10"/>
  <c r="I58" i="10"/>
  <c r="H58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S55" i="10"/>
  <c r="R55" i="10"/>
  <c r="Q55" i="10"/>
  <c r="Q62" i="10"/>
  <c r="P55" i="10"/>
  <c r="O55" i="10"/>
  <c r="N55" i="10"/>
  <c r="M55" i="10"/>
  <c r="L55" i="10"/>
  <c r="K55" i="10"/>
  <c r="J55" i="10"/>
  <c r="I55" i="10"/>
  <c r="H55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H19" i="10"/>
  <c r="I19" i="10"/>
  <c r="J19" i="10"/>
  <c r="K19" i="10"/>
  <c r="L19" i="10"/>
  <c r="P19" i="10"/>
  <c r="Q19" i="10"/>
  <c r="R19" i="10"/>
  <c r="S19" i="10"/>
  <c r="H20" i="10"/>
  <c r="I20" i="10"/>
  <c r="J20" i="10"/>
  <c r="K20" i="10"/>
  <c r="L20" i="10"/>
  <c r="O20" i="10"/>
  <c r="P20" i="10"/>
  <c r="Q20" i="10"/>
  <c r="R20" i="10"/>
  <c r="S20" i="10"/>
  <c r="H21" i="10"/>
  <c r="I21" i="10"/>
  <c r="J21" i="10"/>
  <c r="K21" i="10"/>
  <c r="L21" i="10"/>
  <c r="O21" i="10"/>
  <c r="P21" i="10"/>
  <c r="Q21" i="10"/>
  <c r="R21" i="10"/>
  <c r="S21" i="10"/>
  <c r="G35" i="10"/>
  <c r="S33" i="10"/>
  <c r="R33" i="10"/>
  <c r="Q33" i="10"/>
  <c r="P33" i="10"/>
  <c r="O33" i="10"/>
  <c r="L33" i="10"/>
  <c r="K33" i="10"/>
  <c r="J33" i="10"/>
  <c r="I33" i="10"/>
  <c r="H33" i="10"/>
  <c r="G27" i="10"/>
  <c r="G23" i="10"/>
  <c r="S14" i="10"/>
  <c r="Q14" i="10"/>
  <c r="H27" i="10"/>
  <c r="I27" i="10"/>
  <c r="K27" i="10"/>
  <c r="L27" i="10"/>
  <c r="L39" i="10"/>
  <c r="M27" i="10"/>
  <c r="P27" i="10"/>
  <c r="Q27" i="10"/>
  <c r="R27" i="10"/>
  <c r="S27" i="10"/>
  <c r="M35" i="10"/>
  <c r="H38" i="10"/>
  <c r="H39" i="10"/>
  <c r="I38" i="10"/>
  <c r="K38" i="10"/>
  <c r="L38" i="10"/>
  <c r="O38" i="10"/>
  <c r="P38" i="10"/>
  <c r="J38" i="10"/>
  <c r="M38" i="10"/>
  <c r="N38" i="10"/>
  <c r="Q38" i="10"/>
  <c r="R38" i="10"/>
  <c r="S38" i="10"/>
  <c r="I53" i="10"/>
  <c r="P53" i="10"/>
  <c r="Q53" i="10"/>
  <c r="O53" i="10"/>
  <c r="N62" i="10"/>
  <c r="I66" i="10"/>
  <c r="J66" i="10"/>
  <c r="K66" i="10"/>
  <c r="L66" i="10"/>
  <c r="M66" i="10"/>
  <c r="N66" i="10"/>
  <c r="P66" i="10"/>
  <c r="Q66" i="10"/>
  <c r="S66" i="10"/>
  <c r="H66" i="10"/>
  <c r="O66" i="10"/>
  <c r="R66" i="10"/>
  <c r="Q74" i="10"/>
  <c r="H77" i="10"/>
  <c r="I77" i="10"/>
  <c r="J77" i="10"/>
  <c r="K77" i="10"/>
  <c r="L77" i="10"/>
  <c r="O77" i="10"/>
  <c r="P77" i="10"/>
  <c r="Q77" i="10"/>
  <c r="R77" i="10"/>
  <c r="S77" i="10"/>
  <c r="M77" i="10"/>
  <c r="N77" i="10"/>
  <c r="L23" i="10"/>
  <c r="P23" i="10"/>
  <c r="H23" i="10"/>
  <c r="R74" i="10"/>
  <c r="I23" i="10"/>
  <c r="K35" i="10"/>
  <c r="J23" i="10"/>
  <c r="N35" i="10"/>
  <c r="O35" i="10"/>
  <c r="O39" i="10"/>
  <c r="Q35" i="10"/>
  <c r="K74" i="10"/>
  <c r="K62" i="10"/>
  <c r="P62" i="10"/>
  <c r="P78" i="10"/>
  <c r="P74" i="10"/>
  <c r="S74" i="10"/>
  <c r="S78" i="10"/>
  <c r="L74" i="10"/>
  <c r="J62" i="10"/>
  <c r="M62" i="10"/>
  <c r="J53" i="10"/>
  <c r="O23" i="10"/>
  <c r="I62" i="10"/>
  <c r="J74" i="10"/>
  <c r="L62" i="10"/>
  <c r="L78" i="10"/>
  <c r="I74" i="10"/>
  <c r="I78" i="10"/>
  <c r="R35" i="10"/>
  <c r="R62" i="10"/>
  <c r="K23" i="10"/>
  <c r="S23" i="10"/>
  <c r="S39" i="10"/>
  <c r="H62" i="10"/>
  <c r="L35" i="10"/>
  <c r="O74" i="10"/>
  <c r="O78" i="10"/>
  <c r="H74" i="10"/>
  <c r="M74" i="10"/>
  <c r="M78" i="10"/>
  <c r="S62" i="10"/>
  <c r="K78" i="10"/>
  <c r="H14" i="10"/>
  <c r="Q78" i="10"/>
  <c r="R78" i="10"/>
  <c r="H78" i="10"/>
  <c r="J78" i="10"/>
  <c r="M23" i="10"/>
  <c r="M39" i="10"/>
  <c r="I35" i="10"/>
  <c r="K39" i="10"/>
  <c r="I39" i="10"/>
  <c r="R23" i="10"/>
  <c r="R39" i="10"/>
  <c r="N23" i="10"/>
  <c r="N39" i="10"/>
  <c r="N78" i="10"/>
  <c r="J14" i="10"/>
  <c r="P35" i="10"/>
  <c r="P39" i="10"/>
  <c r="Q23" i="10"/>
  <c r="Q39" i="10"/>
  <c r="J39" i="10"/>
</calcChain>
</file>

<file path=xl/sharedStrings.xml><?xml version="1.0" encoding="utf-8"?>
<sst xmlns="http://schemas.openxmlformats.org/spreadsheetml/2006/main" count="168" uniqueCount="84">
  <si>
    <t>109/П`13</t>
  </si>
  <si>
    <t>Хлеб ржаной</t>
  </si>
  <si>
    <t>112/П`13</t>
  </si>
  <si>
    <t>508/П`13</t>
  </si>
  <si>
    <t>108/П`13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</si>
  <si>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</si>
  <si>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</si>
  <si>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</si>
  <si>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</si>
  <si>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</si>
  <si>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386/ДЛ`17</t>
  </si>
  <si>
    <t>507/П`13</t>
  </si>
  <si>
    <t>309/ДЛ`17</t>
  </si>
  <si>
    <t>Итого за 10 день</t>
  </si>
  <si>
    <t>Пищевая вещества(г)</t>
  </si>
  <si>
    <t>Каша рисовая молочная  жидкая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</si>
  <si>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</si>
  <si>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</si>
  <si>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</si>
  <si>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</si>
  <si>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</si>
  <si>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</si>
  <si>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</si>
  <si>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2 Ужин</t>
  </si>
  <si>
    <t>Макаронные изделия отварные</t>
  </si>
  <si>
    <t>Компот из смеси сухофруктов</t>
  </si>
  <si>
    <t>Итого в Ужин</t>
  </si>
  <si>
    <t>Итого в 2 Ужин</t>
  </si>
  <si>
    <t>Итого в Полдник</t>
  </si>
  <si>
    <t>Чай с молоком</t>
  </si>
  <si>
    <t>А</t>
  </si>
  <si>
    <t>У</t>
  </si>
  <si>
    <t>С</t>
  </si>
  <si>
    <t>Ж</t>
  </si>
  <si>
    <t>Fe</t>
  </si>
  <si>
    <t>Mg</t>
  </si>
  <si>
    <t>30</t>
  </si>
  <si>
    <t>Ca</t>
  </si>
  <si>
    <t>Е</t>
  </si>
  <si>
    <t>P</t>
  </si>
  <si>
    <t>Б</t>
  </si>
  <si>
    <t>В1</t>
  </si>
  <si>
    <t>200</t>
  </si>
  <si>
    <t>150</t>
  </si>
  <si>
    <t>50</t>
  </si>
  <si>
    <t>40</t>
  </si>
  <si>
    <t>60</t>
  </si>
  <si>
    <t>Минеральные вещ-ва(мг)</t>
  </si>
  <si>
    <t>Компот из свежих плодов или ягод (вишня)</t>
  </si>
  <si>
    <t>Плоды свежие (киви)</t>
  </si>
  <si>
    <t>495/П`13</t>
  </si>
  <si>
    <t>268/П`13</t>
  </si>
  <si>
    <t xml:space="preserve">День: </t>
  </si>
  <si>
    <t>Неделя: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</si>
  <si>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</si>
  <si>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</si>
  <si>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</si>
  <si>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</si>
  <si>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</si>
  <si>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среда</t>
  </si>
  <si>
    <t>вторая</t>
  </si>
  <si>
    <t>Среда/вторая неделя/7-11 лет</t>
  </si>
  <si>
    <t>Среда/вторая неделя/12 лет и старше</t>
  </si>
  <si>
    <t>Курица в соусе с томатом</t>
  </si>
  <si>
    <t>405/П`13</t>
  </si>
  <si>
    <t>Оладьи с яблоками</t>
  </si>
  <si>
    <t>538/П`13</t>
  </si>
  <si>
    <t>Салат картофельный с кукурузой и морковью</t>
  </si>
  <si>
    <t>73/П`13</t>
  </si>
  <si>
    <t>160</t>
  </si>
  <si>
    <t>354/409/ П`18</t>
  </si>
  <si>
    <r>
      <rPr>
        <b/>
        <sz val="12"/>
        <color indexed="8"/>
        <rFont val="Book Antiqua"/>
        <family val="1"/>
        <charset val="204"/>
      </rPr>
      <t>Ряженка</t>
    </r>
    <r>
      <rPr>
        <sz val="12"/>
        <color indexed="8"/>
        <rFont val="Book Antiqua"/>
        <family val="1"/>
        <charset val="204"/>
      </rPr>
      <t xml:space="preserve"> 2,5%</t>
    </r>
  </si>
  <si>
    <t>Ск 1.4.3.7</t>
  </si>
  <si>
    <t>Крем творожный с ванилином,5% жирности</t>
  </si>
  <si>
    <t>457/П`18</t>
  </si>
  <si>
    <t>Чай с сахаром</t>
  </si>
  <si>
    <t xml:space="preserve">Щи из свежей капусты с картофелем                           (бульон из кур),   со сметаной  </t>
  </si>
  <si>
    <t>142/121/479/П`13</t>
  </si>
  <si>
    <t>32/П`18</t>
  </si>
  <si>
    <t>Салат из свеклы с сыром</t>
  </si>
  <si>
    <t>Запеканка картофельная с печенью,                          соус сметанный натуральный</t>
  </si>
  <si>
    <t>7/ДЛ`17</t>
  </si>
  <si>
    <t>Бутерброды горячие с сыром</t>
  </si>
  <si>
    <t>Запеканка картофельная с печенью,                              соус сметанный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</si>
</sst>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"/>
    <numFmt numFmtId="183" formatCode="#,##0.0_р_."/>
  </numFmts>
  <fonts count="23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Book Antiqua"/>
      <family val="1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b/>
      <sz val="12"/>
      <color indexed="64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1" fillId="2" borderId="9" applyNumberFormat="0" applyAlignment="0" applyProtection="0"/>
    <xf numFmtId="0" fontId="12" fillId="10" borderId="10" applyNumberFormat="0" applyAlignment="0" applyProtection="0"/>
    <xf numFmtId="0" fontId="13" fillId="10" borderId="9" applyNumberFormat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1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60">
    <xf numFmtId="0" fontId="0" fillId="0" borderId="0" xfId="0" applyNumberFormat="1" applyFont="1" applyFill="1"/>
    <xf numFmtId="180" fontId="6" fillId="0" borderId="1" xfId="0" applyNumberFormat="1" applyFont="1" applyFill="1" applyBorder="1"/>
    <xf numFmtId="0" fontId="8" fillId="0" borderId="0" xfId="0" applyNumberFormat="1" applyFont="1" applyFill="1"/>
    <xf numFmtId="180" fontId="8" fillId="0" borderId="0" xfId="0" applyNumberFormat="1" applyFont="1" applyFill="1"/>
    <xf numFmtId="1" fontId="8" fillId="0" borderId="0" xfId="0" applyNumberFormat="1" applyFont="1" applyFill="1"/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180" fontId="8" fillId="0" borderId="1" xfId="0" applyNumberFormat="1" applyFont="1" applyFill="1" applyBorder="1"/>
    <xf numFmtId="0" fontId="8" fillId="0" borderId="1" xfId="0" applyNumberFormat="1" applyFont="1" applyFill="1" applyBorder="1"/>
    <xf numFmtId="1" fontId="8" fillId="0" borderId="1" xfId="0" applyNumberFormat="1" applyFont="1" applyFill="1" applyBorder="1"/>
    <xf numFmtId="0" fontId="8" fillId="0" borderId="3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180" fontId="8" fillId="0" borderId="1" xfId="0" applyNumberFormat="1" applyFont="1" applyFill="1" applyBorder="1" applyAlignment="1">
      <alignment wrapText="1"/>
    </xf>
    <xf numFmtId="0" fontId="8" fillId="0" borderId="3" xfId="0" applyNumberFormat="1" applyFont="1" applyFill="1" applyBorder="1" applyAlignment="1"/>
    <xf numFmtId="180" fontId="9" fillId="0" borderId="1" xfId="0" applyNumberFormat="1" applyFont="1" applyFill="1" applyBorder="1"/>
    <xf numFmtId="2" fontId="9" fillId="0" borderId="1" xfId="0" applyNumberFormat="1" applyFont="1" applyFill="1" applyBorder="1"/>
    <xf numFmtId="1" fontId="9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textRotation="180"/>
    </xf>
    <xf numFmtId="2" fontId="9" fillId="0" borderId="0" xfId="0" applyNumberFormat="1" applyFont="1" applyFill="1" applyBorder="1"/>
    <xf numFmtId="0" fontId="8" fillId="0" borderId="1" xfId="0" applyNumberFormat="1" applyFont="1" applyFill="1" applyBorder="1" applyAlignment="1">
      <alignment wrapText="1"/>
    </xf>
    <xf numFmtId="180" fontId="10" fillId="0" borderId="1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83" fontId="8" fillId="0" borderId="1" xfId="0" applyNumberFormat="1" applyFont="1" applyFill="1" applyBorder="1" applyAlignment="1"/>
    <xf numFmtId="0" fontId="8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distributed" wrapText="1"/>
    </xf>
    <xf numFmtId="0" fontId="8" fillId="0" borderId="7" xfId="0" applyNumberFormat="1" applyFont="1" applyFill="1" applyBorder="1" applyAlignment="1">
      <alignment horizontal="center" vertical="distributed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180" fontId="8" fillId="0" borderId="1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 vertical="center" textRotation="180"/>
    </xf>
    <xf numFmtId="0" fontId="9" fillId="0" borderId="8" xfId="0" applyNumberFormat="1" applyFont="1" applyFill="1" applyBorder="1" applyAlignment="1">
      <alignment horizontal="center" vertical="center" textRotation="180"/>
    </xf>
    <xf numFmtId="0" fontId="9" fillId="0" borderId="7" xfId="0" applyNumberFormat="1" applyFont="1" applyFill="1" applyBorder="1" applyAlignment="1">
      <alignment horizontal="center" vertical="center" textRotation="18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T78"/>
  <sheetViews>
    <sheetView tabSelected="1" view="pageBreakPreview" topLeftCell="A46" zoomScaleNormal="100" zoomScaleSheetLayoutView="100" workbookViewId="0"/>
  </sheetViews>
  <sheetFormatPr defaultColWidth="9.1796875" defaultRowHeight="15.5" x14ac:dyDescent="0.35"/>
  <cols>
    <col min="1" max="1" width="12.453125" style="2" customWidth="1"/>
    <col min="2" max="5" width="9.1796875" style="2"/>
    <col min="6" max="6" width="17.7265625" style="2" customWidth="1"/>
    <col min="7" max="7" width="9.1796875" style="2"/>
    <col min="8" max="8" width="7.453125" style="3" customWidth="1"/>
    <col min="9" max="9" width="7" style="3" customWidth="1"/>
    <col min="10" max="10" width="9.26953125" style="3" customWidth="1"/>
    <col min="11" max="11" width="9.7265625" style="3" customWidth="1"/>
    <col min="12" max="12" width="6.26953125" style="2" customWidth="1"/>
    <col min="13" max="13" width="7.54296875" style="3" customWidth="1"/>
    <col min="14" max="14" width="8.81640625" style="2" customWidth="1"/>
    <col min="15" max="15" width="7.81640625" style="3" customWidth="1"/>
    <col min="16" max="16" width="7.54296875" style="4" customWidth="1"/>
    <col min="17" max="17" width="7.7265625" style="4" customWidth="1"/>
    <col min="18" max="18" width="7.1796875" style="4" customWidth="1"/>
    <col min="19" max="19" width="7.54296875" style="3" customWidth="1"/>
    <col min="20" max="20" width="5.453125" style="2" customWidth="1"/>
    <col min="21" max="16384" width="9.1796875" style="2"/>
  </cols>
  <sheetData>
    <row r="1" spans="1:20" x14ac:dyDescent="0.35">
      <c r="A1" s="2" t="s">
        <v>52</v>
      </c>
      <c r="B1" s="2" t="s">
        <v>59</v>
      </c>
    </row>
    <row r="2" spans="1:20" x14ac:dyDescent="0.35">
      <c r="A2" s="2" t="s">
        <v>53</v>
      </c>
      <c r="B2" s="2" t="s">
        <v>60</v>
      </c>
    </row>
    <row r="3" spans="1:20" x14ac:dyDescent="0.35">
      <c r="A3" s="2" t="s">
        <v>54</v>
      </c>
      <c r="B3" s="2" t="s">
        <v>55</v>
      </c>
    </row>
    <row r="4" spans="1:20" x14ac:dyDescent="0.35">
      <c r="A4" s="34" t="s">
        <v>56</v>
      </c>
      <c r="B4" s="35"/>
      <c r="C4" s="35"/>
      <c r="D4" s="5"/>
      <c r="E4" s="5" t="s">
        <v>57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x14ac:dyDescent="0.35">
      <c r="A5" s="42" t="s">
        <v>19</v>
      </c>
      <c r="B5" s="42" t="s">
        <v>16</v>
      </c>
      <c r="C5" s="42"/>
      <c r="D5" s="42"/>
      <c r="E5" s="42"/>
      <c r="F5" s="42"/>
      <c r="G5" s="48" t="s">
        <v>8</v>
      </c>
      <c r="H5" s="54" t="s">
        <v>14</v>
      </c>
      <c r="I5" s="54"/>
      <c r="J5" s="54"/>
      <c r="K5" s="54" t="s">
        <v>20</v>
      </c>
      <c r="L5" s="42" t="s">
        <v>9</v>
      </c>
      <c r="M5" s="42"/>
      <c r="N5" s="42"/>
      <c r="O5" s="42"/>
      <c r="P5" s="42" t="s">
        <v>47</v>
      </c>
      <c r="Q5" s="42"/>
      <c r="R5" s="42"/>
      <c r="S5" s="42"/>
      <c r="T5" s="57" t="s">
        <v>61</v>
      </c>
    </row>
    <row r="6" spans="1:20" x14ac:dyDescent="0.35">
      <c r="A6" s="42"/>
      <c r="B6" s="42"/>
      <c r="C6" s="42"/>
      <c r="D6" s="42"/>
      <c r="E6" s="42"/>
      <c r="F6" s="42"/>
      <c r="G6" s="49"/>
      <c r="H6" s="7" t="s">
        <v>40</v>
      </c>
      <c r="I6" s="7" t="s">
        <v>33</v>
      </c>
      <c r="J6" s="7" t="s">
        <v>31</v>
      </c>
      <c r="K6" s="54"/>
      <c r="L6" s="8" t="s">
        <v>41</v>
      </c>
      <c r="M6" s="7" t="s">
        <v>32</v>
      </c>
      <c r="N6" s="8" t="s">
        <v>30</v>
      </c>
      <c r="O6" s="7" t="s">
        <v>38</v>
      </c>
      <c r="P6" s="9" t="s">
        <v>37</v>
      </c>
      <c r="Q6" s="9" t="s">
        <v>39</v>
      </c>
      <c r="R6" s="9" t="s">
        <v>35</v>
      </c>
      <c r="S6" s="7" t="s">
        <v>34</v>
      </c>
      <c r="T6" s="58"/>
    </row>
    <row r="7" spans="1:20" x14ac:dyDescent="0.35">
      <c r="A7" s="8">
        <v>1</v>
      </c>
      <c r="B7" s="39">
        <v>2</v>
      </c>
      <c r="C7" s="40"/>
      <c r="D7" s="40"/>
      <c r="E7" s="40"/>
      <c r="F7" s="41"/>
      <c r="G7" s="6">
        <v>3</v>
      </c>
      <c r="H7" s="11">
        <v>4</v>
      </c>
      <c r="I7" s="11">
        <v>5</v>
      </c>
      <c r="J7" s="6">
        <v>6</v>
      </c>
      <c r="K7" s="6">
        <v>7</v>
      </c>
      <c r="L7" s="6">
        <v>8</v>
      </c>
      <c r="M7" s="6">
        <v>9</v>
      </c>
      <c r="N7" s="6">
        <v>10</v>
      </c>
      <c r="O7" s="6">
        <v>11</v>
      </c>
      <c r="P7" s="6">
        <v>12</v>
      </c>
      <c r="Q7" s="6">
        <v>13</v>
      </c>
      <c r="R7" s="6">
        <v>14</v>
      </c>
      <c r="S7" s="6">
        <v>15</v>
      </c>
      <c r="T7" s="58"/>
    </row>
    <row r="8" spans="1:20" x14ac:dyDescent="0.35">
      <c r="A8" s="46" t="s">
        <v>17</v>
      </c>
      <c r="B8" s="43"/>
      <c r="C8" s="43"/>
      <c r="D8" s="43"/>
      <c r="E8" s="43"/>
      <c r="F8" s="47"/>
      <c r="G8" s="8"/>
      <c r="H8" s="7"/>
      <c r="I8" s="7"/>
      <c r="J8" s="7"/>
      <c r="K8" s="7"/>
      <c r="L8" s="8"/>
      <c r="M8" s="7"/>
      <c r="N8" s="8"/>
      <c r="O8" s="7"/>
      <c r="P8" s="9"/>
      <c r="Q8" s="9"/>
      <c r="R8" s="9"/>
      <c r="S8" s="7"/>
      <c r="T8" s="58"/>
    </row>
    <row r="9" spans="1:20" ht="16.5" customHeight="1" x14ac:dyDescent="0.35">
      <c r="A9" s="8" t="s">
        <v>51</v>
      </c>
      <c r="B9" s="39" t="s">
        <v>15</v>
      </c>
      <c r="C9" s="40"/>
      <c r="D9" s="40"/>
      <c r="E9" s="40"/>
      <c r="F9" s="41"/>
      <c r="G9" s="14">
        <v>200</v>
      </c>
      <c r="H9" s="7">
        <f>27.7*0.2</f>
        <v>5.54</v>
      </c>
      <c r="I9" s="7">
        <f>43.1*0.2</f>
        <v>8.620000000000001</v>
      </c>
      <c r="J9" s="7">
        <f>162*0.2</f>
        <v>32.4</v>
      </c>
      <c r="K9" s="7">
        <f>1147*0.2</f>
        <v>229.4</v>
      </c>
      <c r="L9" s="15">
        <f>0.32*0.2</f>
        <v>6.4000000000000001E-2</v>
      </c>
      <c r="M9" s="7">
        <f>7.7*0.2</f>
        <v>1.54</v>
      </c>
      <c r="N9" s="15">
        <f>0.27*0.2</f>
        <v>5.4000000000000006E-2</v>
      </c>
      <c r="O9" s="7">
        <f>0.9*0.2</f>
        <v>0.18000000000000002</v>
      </c>
      <c r="P9" s="9">
        <f>717*0.2</f>
        <v>143.4</v>
      </c>
      <c r="Q9" s="9">
        <f>759*0.2</f>
        <v>151.80000000000001</v>
      </c>
      <c r="R9" s="7">
        <f>158*0.2</f>
        <v>31.6</v>
      </c>
      <c r="S9" s="7">
        <f>2.2*0.2</f>
        <v>0.44000000000000006</v>
      </c>
      <c r="T9" s="58"/>
    </row>
    <row r="10" spans="1:20" ht="17.25" customHeight="1" x14ac:dyDescent="0.35">
      <c r="A10" s="8" t="s">
        <v>81</v>
      </c>
      <c r="B10" s="36" t="s">
        <v>82</v>
      </c>
      <c r="C10" s="37"/>
      <c r="D10" s="37"/>
      <c r="E10" s="37"/>
      <c r="F10" s="38"/>
      <c r="G10" s="16" t="s">
        <v>44</v>
      </c>
      <c r="H10" s="7">
        <v>6.03</v>
      </c>
      <c r="I10" s="7">
        <v>3.67</v>
      </c>
      <c r="J10" s="7">
        <v>14.84</v>
      </c>
      <c r="K10" s="7">
        <v>117</v>
      </c>
      <c r="L10" s="15">
        <v>0</v>
      </c>
      <c r="M10" s="7">
        <v>0.06</v>
      </c>
      <c r="N10" s="15">
        <v>31.5</v>
      </c>
      <c r="O10" s="7">
        <v>0</v>
      </c>
      <c r="P10" s="17">
        <v>150</v>
      </c>
      <c r="Q10" s="17">
        <v>90</v>
      </c>
      <c r="R10" s="18">
        <v>8.25</v>
      </c>
      <c r="S10" s="7">
        <v>0.11</v>
      </c>
      <c r="T10" s="58"/>
    </row>
    <row r="11" spans="1:20" ht="17.25" customHeight="1" x14ac:dyDescent="0.35">
      <c r="A11" s="8" t="s">
        <v>72</v>
      </c>
      <c r="B11" s="36" t="s">
        <v>73</v>
      </c>
      <c r="C11" s="50"/>
      <c r="D11" s="50"/>
      <c r="E11" s="50"/>
      <c r="F11" s="51"/>
      <c r="G11" s="24">
        <v>100</v>
      </c>
      <c r="H11" s="7">
        <v>11</v>
      </c>
      <c r="I11" s="7">
        <v>5</v>
      </c>
      <c r="J11" s="7">
        <v>19.2</v>
      </c>
      <c r="K11" s="7">
        <v>167</v>
      </c>
      <c r="L11" s="15">
        <v>0.03</v>
      </c>
      <c r="M11" s="7">
        <v>0.5</v>
      </c>
      <c r="N11" s="15">
        <v>30</v>
      </c>
      <c r="O11" s="7">
        <v>0</v>
      </c>
      <c r="P11" s="9">
        <v>124</v>
      </c>
      <c r="Q11" s="9">
        <v>165</v>
      </c>
      <c r="R11" s="7">
        <v>17</v>
      </c>
      <c r="S11" s="7">
        <v>0.3</v>
      </c>
      <c r="T11" s="58"/>
    </row>
    <row r="12" spans="1:20" ht="17.25" customHeight="1" x14ac:dyDescent="0.35">
      <c r="A12" s="8" t="s">
        <v>2</v>
      </c>
      <c r="B12" s="39" t="s">
        <v>49</v>
      </c>
      <c r="C12" s="40"/>
      <c r="D12" s="40"/>
      <c r="E12" s="40"/>
      <c r="F12" s="41"/>
      <c r="G12" s="16" t="s">
        <v>42</v>
      </c>
      <c r="H12" s="7">
        <f>0.8*2</f>
        <v>1.6</v>
      </c>
      <c r="I12" s="7">
        <f>0.4*2</f>
        <v>0.8</v>
      </c>
      <c r="J12" s="7">
        <f>8.1*2</f>
        <v>16.2</v>
      </c>
      <c r="K12" s="7">
        <f>47*2</f>
        <v>94</v>
      </c>
      <c r="L12" s="15">
        <f>0.04*2</f>
        <v>0.08</v>
      </c>
      <c r="M12" s="1">
        <f>180*2</f>
        <v>360</v>
      </c>
      <c r="N12" s="15">
        <v>0</v>
      </c>
      <c r="O12" s="7">
        <f>0.4*2</f>
        <v>0.8</v>
      </c>
      <c r="P12" s="17">
        <f>8*2</f>
        <v>16</v>
      </c>
      <c r="Q12" s="17">
        <f>28*2</f>
        <v>56</v>
      </c>
      <c r="R12" s="18">
        <f>42*2</f>
        <v>84</v>
      </c>
      <c r="S12" s="7">
        <f>0.6*2</f>
        <v>1.2</v>
      </c>
      <c r="T12" s="58"/>
    </row>
    <row r="13" spans="1:20" ht="19.5" customHeight="1" x14ac:dyDescent="0.35">
      <c r="A13" s="8" t="s">
        <v>74</v>
      </c>
      <c r="B13" s="39" t="s">
        <v>75</v>
      </c>
      <c r="C13" s="40"/>
      <c r="D13" s="40"/>
      <c r="E13" s="40"/>
      <c r="F13" s="41"/>
      <c r="G13" s="8">
        <v>200</v>
      </c>
      <c r="H13" s="7">
        <v>0.2</v>
      </c>
      <c r="I13" s="7">
        <v>0.1</v>
      </c>
      <c r="J13" s="7">
        <v>9.3000000000000007</v>
      </c>
      <c r="K13" s="7">
        <v>38</v>
      </c>
      <c r="L13" s="15">
        <v>0</v>
      </c>
      <c r="M13" s="7">
        <v>0</v>
      </c>
      <c r="N13" s="15">
        <v>0</v>
      </c>
      <c r="O13" s="7">
        <v>0</v>
      </c>
      <c r="P13" s="9">
        <v>5.0999999999999996</v>
      </c>
      <c r="Q13" s="9">
        <v>7.7</v>
      </c>
      <c r="R13" s="7">
        <v>4.2</v>
      </c>
      <c r="S13" s="7">
        <v>0.82</v>
      </c>
      <c r="T13" s="58"/>
    </row>
    <row r="14" spans="1:20" x14ac:dyDescent="0.35">
      <c r="A14" s="19"/>
      <c r="B14" s="43" t="s">
        <v>6</v>
      </c>
      <c r="C14" s="43"/>
      <c r="D14" s="43"/>
      <c r="E14" s="43"/>
      <c r="F14" s="47"/>
      <c r="G14" s="32">
        <f>G13+G12+G11+G10+G9</f>
        <v>750</v>
      </c>
      <c r="H14" s="20">
        <f t="shared" ref="H14:S14" si="0">SUM(H9:H13)</f>
        <v>24.37</v>
      </c>
      <c r="I14" s="20">
        <f t="shared" si="0"/>
        <v>18.190000000000001</v>
      </c>
      <c r="J14" s="20">
        <f t="shared" si="0"/>
        <v>91.94</v>
      </c>
      <c r="K14" s="20">
        <f t="shared" si="0"/>
        <v>645.4</v>
      </c>
      <c r="L14" s="21">
        <f t="shared" si="0"/>
        <v>0.17399999999999999</v>
      </c>
      <c r="M14" s="20">
        <f t="shared" si="0"/>
        <v>362.1</v>
      </c>
      <c r="N14" s="21">
        <f t="shared" si="0"/>
        <v>61.554000000000002</v>
      </c>
      <c r="O14" s="20">
        <f t="shared" si="0"/>
        <v>0.98000000000000009</v>
      </c>
      <c r="P14" s="22">
        <f t="shared" si="0"/>
        <v>438.5</v>
      </c>
      <c r="Q14" s="22">
        <f t="shared" si="0"/>
        <v>470.5</v>
      </c>
      <c r="R14" s="20">
        <f t="shared" si="0"/>
        <v>145.04999999999998</v>
      </c>
      <c r="S14" s="20">
        <f t="shared" si="0"/>
        <v>2.8699999999999997</v>
      </c>
      <c r="T14" s="58"/>
    </row>
    <row r="15" spans="1:20" x14ac:dyDescent="0.35">
      <c r="A15" s="46" t="s">
        <v>18</v>
      </c>
      <c r="B15" s="43"/>
      <c r="C15" s="43"/>
      <c r="D15" s="43"/>
      <c r="E15" s="43"/>
      <c r="F15" s="47"/>
      <c r="G15" s="14"/>
      <c r="H15" s="7"/>
      <c r="I15" s="7"/>
      <c r="J15" s="7"/>
      <c r="K15" s="7"/>
      <c r="L15" s="15"/>
      <c r="M15" s="7"/>
      <c r="N15" s="15"/>
      <c r="O15" s="7"/>
      <c r="P15" s="9"/>
      <c r="Q15" s="9"/>
      <c r="R15" s="7"/>
      <c r="S15" s="7"/>
      <c r="T15" s="58"/>
    </row>
    <row r="16" spans="1:20" ht="30.75" customHeight="1" x14ac:dyDescent="0.35">
      <c r="A16" s="28" t="s">
        <v>68</v>
      </c>
      <c r="B16" s="39" t="s">
        <v>67</v>
      </c>
      <c r="C16" s="40"/>
      <c r="D16" s="40"/>
      <c r="E16" s="40"/>
      <c r="F16" s="41"/>
      <c r="G16" s="14">
        <v>75</v>
      </c>
      <c r="H16" s="7">
        <f>3.1*0.75</f>
        <v>2.3250000000000002</v>
      </c>
      <c r="I16" s="7">
        <f>6.9*0.75</f>
        <v>5.1750000000000007</v>
      </c>
      <c r="J16" s="7">
        <f>21.9*0.75</f>
        <v>16.424999999999997</v>
      </c>
      <c r="K16" s="7">
        <f>162*0.75</f>
        <v>121.5</v>
      </c>
      <c r="L16" s="15">
        <f>0.09*0.75</f>
        <v>6.7500000000000004E-2</v>
      </c>
      <c r="M16" s="7">
        <f>10.2*0.75</f>
        <v>7.6499999999999995</v>
      </c>
      <c r="N16" s="15">
        <f>0</f>
        <v>0</v>
      </c>
      <c r="O16" s="7">
        <f>3.1*0.75</f>
        <v>2.3250000000000002</v>
      </c>
      <c r="P16" s="9">
        <f>20*0.75</f>
        <v>15</v>
      </c>
      <c r="Q16" s="9">
        <f>86*0.75</f>
        <v>64.5</v>
      </c>
      <c r="R16" s="7">
        <f>34*0.75</f>
        <v>25.5</v>
      </c>
      <c r="S16" s="7">
        <f>1.3*0.75</f>
        <v>0.97500000000000009</v>
      </c>
      <c r="T16" s="58"/>
    </row>
    <row r="17" spans="1:20" ht="31.5" customHeight="1" x14ac:dyDescent="0.35">
      <c r="A17" s="28" t="s">
        <v>77</v>
      </c>
      <c r="B17" s="36" t="s">
        <v>76</v>
      </c>
      <c r="C17" s="37"/>
      <c r="D17" s="37"/>
      <c r="E17" s="37"/>
      <c r="F17" s="38"/>
      <c r="G17" s="14">
        <v>250</v>
      </c>
      <c r="H17" s="7">
        <f>7*0.25+5*0.2+26*0.02</f>
        <v>3.27</v>
      </c>
      <c r="I17" s="7">
        <f>19.9*0.25+1*0.2+150*0.02</f>
        <v>8.1750000000000007</v>
      </c>
      <c r="J17" s="7">
        <f>31.1*0.25+36*0.02</f>
        <v>8.495000000000001</v>
      </c>
      <c r="K17" s="7">
        <f>332*0.25+29*0.2+1620*0.02</f>
        <v>121.19999999999999</v>
      </c>
      <c r="L17" s="15">
        <f>0.23*0.25+0.1*0.2+0.3*0.02</f>
        <v>8.3500000000000019E-2</v>
      </c>
      <c r="M17" s="7">
        <f>73.9*0.25+4*0.02</f>
        <v>18.555</v>
      </c>
      <c r="N17" s="15">
        <f>0+1*0.02</f>
        <v>0.02</v>
      </c>
      <c r="O17" s="7">
        <f>9.5*0.25+3*0.02</f>
        <v>2.4350000000000001</v>
      </c>
      <c r="P17" s="9">
        <f>136*0.25+50*0.2+880*0.02</f>
        <v>61.6</v>
      </c>
      <c r="Q17" s="9">
        <f>190*0.25+987*0.2+610*0.02</f>
        <v>257.10000000000002</v>
      </c>
      <c r="R17" s="7">
        <f>89*0.25+40*0.2+90*0.02</f>
        <v>32.049999999999997</v>
      </c>
      <c r="S17" s="7">
        <f>3.2*0.25+2*0.02</f>
        <v>0.84000000000000008</v>
      </c>
      <c r="T17" s="58"/>
    </row>
    <row r="18" spans="1:20" ht="21" customHeight="1" x14ac:dyDescent="0.35">
      <c r="A18" s="8" t="s">
        <v>64</v>
      </c>
      <c r="B18" s="36" t="s">
        <v>63</v>
      </c>
      <c r="C18" s="37"/>
      <c r="D18" s="37"/>
      <c r="E18" s="37"/>
      <c r="F18" s="38"/>
      <c r="G18" s="14">
        <v>120</v>
      </c>
      <c r="H18" s="7">
        <f>13.6</f>
        <v>13.6</v>
      </c>
      <c r="I18" s="7">
        <f>13.5</f>
        <v>13.5</v>
      </c>
      <c r="J18" s="7">
        <f>4.1</f>
        <v>4.0999999999999996</v>
      </c>
      <c r="K18" s="7">
        <f>192</f>
        <v>192</v>
      </c>
      <c r="L18" s="15">
        <f>0.02</f>
        <v>0.02</v>
      </c>
      <c r="M18" s="7">
        <f>2.3</f>
        <v>2.2999999999999998</v>
      </c>
      <c r="N18" s="15">
        <f>0.03</f>
        <v>0.03</v>
      </c>
      <c r="O18" s="7">
        <f>0.5</f>
        <v>0.5</v>
      </c>
      <c r="P18" s="9">
        <f>34</f>
        <v>34</v>
      </c>
      <c r="Q18" s="9">
        <f>90</f>
        <v>90</v>
      </c>
      <c r="R18" s="7">
        <f>16</f>
        <v>16</v>
      </c>
      <c r="S18" s="7">
        <f>1</f>
        <v>1</v>
      </c>
      <c r="T18" s="58"/>
    </row>
    <row r="19" spans="1:20" ht="19.5" customHeight="1" x14ac:dyDescent="0.35">
      <c r="A19" s="8" t="s">
        <v>12</v>
      </c>
      <c r="B19" s="39" t="s">
        <v>24</v>
      </c>
      <c r="C19" s="40"/>
      <c r="D19" s="40"/>
      <c r="E19" s="40"/>
      <c r="F19" s="41"/>
      <c r="G19" s="24">
        <v>200</v>
      </c>
      <c r="H19" s="7">
        <f>36.78*0.2</f>
        <v>7.3560000000000008</v>
      </c>
      <c r="I19" s="7">
        <f>30.1*0.2</f>
        <v>6.0200000000000005</v>
      </c>
      <c r="J19" s="7">
        <f>176.3*0.2</f>
        <v>35.260000000000005</v>
      </c>
      <c r="K19" s="7">
        <f>1123*0.2</f>
        <v>224.60000000000002</v>
      </c>
      <c r="L19" s="15">
        <f>0.37*0.2</f>
        <v>7.3999999999999996E-2</v>
      </c>
      <c r="M19" s="7">
        <v>0</v>
      </c>
      <c r="N19" s="15">
        <v>0</v>
      </c>
      <c r="O19" s="7">
        <v>0</v>
      </c>
      <c r="P19" s="9">
        <f>32.4*0.2</f>
        <v>6.48</v>
      </c>
      <c r="Q19" s="9">
        <f>247.8*0.2</f>
        <v>49.56</v>
      </c>
      <c r="R19" s="7">
        <f>140.8*0.2</f>
        <v>28.160000000000004</v>
      </c>
      <c r="S19" s="7">
        <f>7.37*0.2</f>
        <v>1.4740000000000002</v>
      </c>
      <c r="T19" s="58"/>
    </row>
    <row r="20" spans="1:20" ht="17.25" customHeight="1" x14ac:dyDescent="0.35">
      <c r="A20" s="8" t="s">
        <v>4</v>
      </c>
      <c r="B20" s="39" t="s">
        <v>5</v>
      </c>
      <c r="C20" s="40"/>
      <c r="D20" s="40"/>
      <c r="E20" s="40"/>
      <c r="F20" s="41"/>
      <c r="G20" s="16" t="s">
        <v>36</v>
      </c>
      <c r="H20" s="7">
        <f>7.6*0.3</f>
        <v>2.2799999999999998</v>
      </c>
      <c r="I20" s="7">
        <f>0.8*0.3</f>
        <v>0.24</v>
      </c>
      <c r="J20" s="7">
        <f>49.2*0.3</f>
        <v>14.76</v>
      </c>
      <c r="K20" s="7">
        <f>235*0.3</f>
        <v>70.5</v>
      </c>
      <c r="L20" s="15">
        <f>0.11*0.3</f>
        <v>3.3000000000000002E-2</v>
      </c>
      <c r="M20" s="7">
        <v>0</v>
      </c>
      <c r="N20" s="15">
        <v>0</v>
      </c>
      <c r="O20" s="7">
        <f>1.1*0.3</f>
        <v>0.33</v>
      </c>
      <c r="P20" s="9">
        <f>20*0.3</f>
        <v>6</v>
      </c>
      <c r="Q20" s="9">
        <f>65*0.3</f>
        <v>19.5</v>
      </c>
      <c r="R20" s="7">
        <f>14*0.3</f>
        <v>4.2</v>
      </c>
      <c r="S20" s="7">
        <f>1.1*0.3</f>
        <v>0.33</v>
      </c>
      <c r="T20" s="58"/>
    </row>
    <row r="21" spans="1:20" x14ac:dyDescent="0.35">
      <c r="A21" s="8" t="s">
        <v>0</v>
      </c>
      <c r="B21" s="39" t="s">
        <v>1</v>
      </c>
      <c r="C21" s="40"/>
      <c r="D21" s="40"/>
      <c r="E21" s="40"/>
      <c r="F21" s="41"/>
      <c r="G21" s="8">
        <v>30</v>
      </c>
      <c r="H21" s="7">
        <f>6.6*0.3</f>
        <v>1.9799999999999998</v>
      </c>
      <c r="I21" s="7">
        <f>1.2*0.3</f>
        <v>0.36</v>
      </c>
      <c r="J21" s="7">
        <f>33.4*0.3</f>
        <v>10.02</v>
      </c>
      <c r="K21" s="7">
        <f>174*0.3</f>
        <v>52.199999999999996</v>
      </c>
      <c r="L21" s="15">
        <f>0.18*0.3</f>
        <v>5.3999999999999999E-2</v>
      </c>
      <c r="M21" s="7">
        <v>0</v>
      </c>
      <c r="N21" s="15">
        <v>0</v>
      </c>
      <c r="O21" s="7">
        <f>1.4*0.3</f>
        <v>0.42</v>
      </c>
      <c r="P21" s="9">
        <f>35*0.3</f>
        <v>10.5</v>
      </c>
      <c r="Q21" s="9">
        <f>158*0.3</f>
        <v>47.4</v>
      </c>
      <c r="R21" s="7">
        <f>47*0.3</f>
        <v>14.1</v>
      </c>
      <c r="S21" s="7">
        <f>3.9*0.3</f>
        <v>1.17</v>
      </c>
      <c r="T21" s="58"/>
    </row>
    <row r="22" spans="1:20" ht="15.75" customHeight="1" x14ac:dyDescent="0.35">
      <c r="A22" s="8" t="s">
        <v>3</v>
      </c>
      <c r="B22" s="36" t="s">
        <v>25</v>
      </c>
      <c r="C22" s="37"/>
      <c r="D22" s="37"/>
      <c r="E22" s="37"/>
      <c r="F22" s="38"/>
      <c r="G22" s="24">
        <v>200</v>
      </c>
      <c r="H22" s="7">
        <v>0.5</v>
      </c>
      <c r="I22" s="7">
        <v>0</v>
      </c>
      <c r="J22" s="7">
        <v>27</v>
      </c>
      <c r="K22" s="7">
        <v>110</v>
      </c>
      <c r="L22" s="15">
        <v>0.01</v>
      </c>
      <c r="M22" s="7">
        <v>0.5</v>
      </c>
      <c r="N22" s="15">
        <v>0</v>
      </c>
      <c r="O22" s="7">
        <v>0</v>
      </c>
      <c r="P22" s="9">
        <v>28</v>
      </c>
      <c r="Q22" s="9">
        <v>19</v>
      </c>
      <c r="R22" s="7">
        <v>7</v>
      </c>
      <c r="S22" s="7">
        <v>1.5</v>
      </c>
      <c r="T22" s="58"/>
    </row>
    <row r="23" spans="1:20" x14ac:dyDescent="0.35">
      <c r="A23" s="12"/>
      <c r="B23" s="43" t="s">
        <v>7</v>
      </c>
      <c r="C23" s="43"/>
      <c r="D23" s="43"/>
      <c r="E23" s="43"/>
      <c r="F23" s="43"/>
      <c r="G23" s="31">
        <f>G22+G21+G20+G19+G18+G17+G16</f>
        <v>905</v>
      </c>
      <c r="H23" s="20">
        <f t="shared" ref="H23:S23" si="1">SUM(H16:H22)</f>
        <v>31.311000000000003</v>
      </c>
      <c r="I23" s="20">
        <f t="shared" si="1"/>
        <v>33.470000000000006</v>
      </c>
      <c r="J23" s="20">
        <f t="shared" si="1"/>
        <v>116.06</v>
      </c>
      <c r="K23" s="20">
        <f t="shared" si="1"/>
        <v>892</v>
      </c>
      <c r="L23" s="21">
        <f t="shared" si="1"/>
        <v>0.34200000000000003</v>
      </c>
      <c r="M23" s="20">
        <f t="shared" si="1"/>
        <v>29.004999999999999</v>
      </c>
      <c r="N23" s="21">
        <f t="shared" si="1"/>
        <v>0.05</v>
      </c>
      <c r="O23" s="20">
        <f t="shared" si="1"/>
        <v>6.01</v>
      </c>
      <c r="P23" s="22">
        <f t="shared" si="1"/>
        <v>161.57999999999998</v>
      </c>
      <c r="Q23" s="22">
        <f t="shared" si="1"/>
        <v>547.06000000000006</v>
      </c>
      <c r="R23" s="20">
        <f t="shared" si="1"/>
        <v>127.01</v>
      </c>
      <c r="S23" s="20">
        <f t="shared" si="1"/>
        <v>7.2890000000000006</v>
      </c>
      <c r="T23" s="58"/>
    </row>
    <row r="24" spans="1:20" x14ac:dyDescent="0.35">
      <c r="A24" s="46" t="s">
        <v>21</v>
      </c>
      <c r="B24" s="52"/>
      <c r="C24" s="52"/>
      <c r="D24" s="52"/>
      <c r="E24" s="52"/>
      <c r="F24" s="53"/>
      <c r="G24" s="13"/>
      <c r="H24" s="20"/>
      <c r="I24" s="20"/>
      <c r="J24" s="20"/>
      <c r="K24" s="20"/>
      <c r="L24" s="21"/>
      <c r="M24" s="20"/>
      <c r="N24" s="21"/>
      <c r="O24" s="20"/>
      <c r="P24" s="22"/>
      <c r="Q24" s="22"/>
      <c r="R24" s="20"/>
      <c r="S24" s="20"/>
      <c r="T24" s="58"/>
    </row>
    <row r="25" spans="1:20" ht="16.5" customHeight="1" x14ac:dyDescent="0.35">
      <c r="A25" s="8" t="s">
        <v>50</v>
      </c>
      <c r="B25" s="36" t="s">
        <v>29</v>
      </c>
      <c r="C25" s="37"/>
      <c r="D25" s="37"/>
      <c r="E25" s="37"/>
      <c r="F25" s="38"/>
      <c r="G25" s="8">
        <v>200</v>
      </c>
      <c r="H25" s="7">
        <v>1.5</v>
      </c>
      <c r="I25" s="7">
        <v>1.3</v>
      </c>
      <c r="J25" s="7">
        <v>15.9</v>
      </c>
      <c r="K25" s="7">
        <v>81</v>
      </c>
      <c r="L25" s="15">
        <v>0.04</v>
      </c>
      <c r="M25" s="7">
        <v>1.3</v>
      </c>
      <c r="N25" s="15">
        <v>0.01</v>
      </c>
      <c r="O25" s="7">
        <v>0</v>
      </c>
      <c r="P25" s="9">
        <v>127</v>
      </c>
      <c r="Q25" s="9">
        <v>93</v>
      </c>
      <c r="R25" s="7">
        <v>15</v>
      </c>
      <c r="S25" s="7">
        <v>0.4</v>
      </c>
      <c r="T25" s="58"/>
    </row>
    <row r="26" spans="1:20" ht="18.75" customHeight="1" x14ac:dyDescent="0.35">
      <c r="A26" s="8" t="s">
        <v>66</v>
      </c>
      <c r="B26" s="36" t="s">
        <v>65</v>
      </c>
      <c r="C26" s="37"/>
      <c r="D26" s="37"/>
      <c r="E26" s="37"/>
      <c r="F26" s="38"/>
      <c r="G26" s="16" t="s">
        <v>43</v>
      </c>
      <c r="H26" s="7">
        <f>8.4*150/160</f>
        <v>7.875</v>
      </c>
      <c r="I26" s="7">
        <f>13.1*150/160</f>
        <v>12.28125</v>
      </c>
      <c r="J26" s="7">
        <f>57.3*150/160</f>
        <v>53.71875</v>
      </c>
      <c r="K26" s="7">
        <f>381*150/160</f>
        <v>357.1875</v>
      </c>
      <c r="L26" s="15">
        <f>0.11*150/160</f>
        <v>0.10312499999999999</v>
      </c>
      <c r="M26" s="7">
        <f>1.3*150/160</f>
        <v>1.21875</v>
      </c>
      <c r="N26" s="15">
        <f>0.04*150/160</f>
        <v>3.7499999999999999E-2</v>
      </c>
      <c r="O26" s="7">
        <f>5.2*150/160</f>
        <v>4.875</v>
      </c>
      <c r="P26" s="9">
        <f>22*150/160</f>
        <v>20.625</v>
      </c>
      <c r="Q26" s="9">
        <f>80*150/160</f>
        <v>75</v>
      </c>
      <c r="R26" s="7">
        <f>15*150/160</f>
        <v>14.0625</v>
      </c>
      <c r="S26" s="7">
        <f>1.4*150/160</f>
        <v>1.3125</v>
      </c>
      <c r="T26" s="58"/>
    </row>
    <row r="27" spans="1:20" x14ac:dyDescent="0.35">
      <c r="A27" s="8"/>
      <c r="B27" s="39"/>
      <c r="C27" s="40"/>
      <c r="D27" s="40"/>
      <c r="E27" s="40"/>
      <c r="F27" s="41"/>
      <c r="G27" s="30">
        <f>G26+G25</f>
        <v>350</v>
      </c>
      <c r="H27" s="20">
        <f t="shared" ref="H27:S27" si="2">SUM(H25:H26)</f>
        <v>9.375</v>
      </c>
      <c r="I27" s="20">
        <f t="shared" si="2"/>
        <v>13.581250000000001</v>
      </c>
      <c r="J27" s="20">
        <f t="shared" si="2"/>
        <v>69.618750000000006</v>
      </c>
      <c r="K27" s="20">
        <f t="shared" si="2"/>
        <v>438.1875</v>
      </c>
      <c r="L27" s="21">
        <f t="shared" si="2"/>
        <v>0.143125</v>
      </c>
      <c r="M27" s="20">
        <f t="shared" si="2"/>
        <v>2.5187499999999998</v>
      </c>
      <c r="N27" s="21">
        <f t="shared" si="2"/>
        <v>4.7500000000000001E-2</v>
      </c>
      <c r="O27" s="20">
        <f t="shared" si="2"/>
        <v>4.875</v>
      </c>
      <c r="P27" s="22">
        <f t="shared" si="2"/>
        <v>147.625</v>
      </c>
      <c r="Q27" s="22">
        <f t="shared" si="2"/>
        <v>168</v>
      </c>
      <c r="R27" s="20">
        <f t="shared" si="2"/>
        <v>29.0625</v>
      </c>
      <c r="S27" s="20">
        <f t="shared" si="2"/>
        <v>1.7124999999999999</v>
      </c>
      <c r="T27" s="58"/>
    </row>
    <row r="28" spans="1:20" x14ac:dyDescent="0.35">
      <c r="A28" s="12"/>
      <c r="B28" s="43" t="s">
        <v>28</v>
      </c>
      <c r="C28" s="43"/>
      <c r="D28" s="43"/>
      <c r="E28" s="43"/>
      <c r="F28" s="43"/>
      <c r="G28" s="23"/>
      <c r="H28" s="20"/>
      <c r="I28" s="20"/>
      <c r="J28" s="20"/>
      <c r="K28" s="20"/>
      <c r="L28" s="21"/>
      <c r="M28" s="20"/>
      <c r="N28" s="21"/>
      <c r="O28" s="20"/>
      <c r="P28" s="22"/>
      <c r="Q28" s="22"/>
      <c r="R28" s="20"/>
      <c r="S28" s="20"/>
      <c r="T28" s="58"/>
    </row>
    <row r="29" spans="1:20" x14ac:dyDescent="0.35">
      <c r="A29" s="46" t="s">
        <v>22</v>
      </c>
      <c r="B29" s="52"/>
      <c r="C29" s="52"/>
      <c r="D29" s="52"/>
      <c r="E29" s="52"/>
      <c r="F29" s="53"/>
      <c r="G29" s="13"/>
      <c r="H29" s="20"/>
      <c r="I29" s="20"/>
      <c r="J29" s="20"/>
      <c r="K29" s="20"/>
      <c r="L29" s="21"/>
      <c r="M29" s="20"/>
      <c r="N29" s="21"/>
      <c r="O29" s="20"/>
      <c r="P29" s="22"/>
      <c r="Q29" s="22"/>
      <c r="R29" s="20"/>
      <c r="S29" s="20"/>
      <c r="T29" s="58"/>
    </row>
    <row r="30" spans="1:20" ht="18" customHeight="1" x14ac:dyDescent="0.35">
      <c r="A30" s="8" t="s">
        <v>78</v>
      </c>
      <c r="B30" s="36" t="s">
        <v>79</v>
      </c>
      <c r="C30" s="37"/>
      <c r="D30" s="37"/>
      <c r="E30" s="37"/>
      <c r="F30" s="38"/>
      <c r="G30" s="14">
        <v>60</v>
      </c>
      <c r="H30" s="7">
        <f>3.1*0.6</f>
        <v>1.8599999999999999</v>
      </c>
      <c r="I30" s="7">
        <f>8.4*0.6</f>
        <v>5.04</v>
      </c>
      <c r="J30" s="7">
        <f>7*0.6</f>
        <v>4.2</v>
      </c>
      <c r="K30" s="7">
        <f>116*0.6</f>
        <v>69.599999999999994</v>
      </c>
      <c r="L30" s="15">
        <f>0.02*0.6</f>
        <v>1.2E-2</v>
      </c>
      <c r="M30" s="7">
        <f>4.9*0.6</f>
        <v>2.94</v>
      </c>
      <c r="N30" s="15">
        <f>20.2*0.6</f>
        <v>12.12</v>
      </c>
      <c r="O30" s="7">
        <f>3.6*0.6</f>
        <v>2.16</v>
      </c>
      <c r="P30" s="9">
        <f>100.1*0.6</f>
        <v>60.059999999999995</v>
      </c>
      <c r="Q30" s="9">
        <f>74.3*0.6</f>
        <v>44.58</v>
      </c>
      <c r="R30" s="7">
        <f>18.2*0.6</f>
        <v>10.92</v>
      </c>
      <c r="S30" s="7">
        <f>1.12*0.6</f>
        <v>0.67200000000000004</v>
      </c>
      <c r="T30" s="58"/>
    </row>
    <row r="31" spans="1:20" ht="31.5" customHeight="1" x14ac:dyDescent="0.35">
      <c r="A31" s="28" t="s">
        <v>70</v>
      </c>
      <c r="B31" s="36" t="s">
        <v>80</v>
      </c>
      <c r="C31" s="37"/>
      <c r="D31" s="37"/>
      <c r="E31" s="37"/>
      <c r="F31" s="38"/>
      <c r="G31" s="14">
        <v>200</v>
      </c>
      <c r="H31" s="7">
        <f>18*150/250+29.5*0.05</f>
        <v>12.275</v>
      </c>
      <c r="I31" s="7">
        <f>7*150/250+186.9*0.05</f>
        <v>13.545000000000002</v>
      </c>
      <c r="J31" s="7">
        <f>22*150/250+48.5*0.05</f>
        <v>15.625</v>
      </c>
      <c r="K31" s="7">
        <f>223*150/250+1994*0.05</f>
        <v>233.5</v>
      </c>
      <c r="L31" s="15">
        <f>0.34*150/250+0.31*0.05</f>
        <v>0.21950000000000003</v>
      </c>
      <c r="M31" s="7">
        <f>14.7*150/250+2*0.05</f>
        <v>8.92</v>
      </c>
      <c r="N31" s="15">
        <f>5770*150/250+1140*0.05</f>
        <v>3519</v>
      </c>
      <c r="O31" s="7">
        <f>1.4*150/250+4.2*0.05</f>
        <v>1.05</v>
      </c>
      <c r="P31" s="9">
        <f>41*150/250+846.8*0.05</f>
        <v>66.94</v>
      </c>
      <c r="Q31" s="9">
        <f>338*150/250+579.2*0.05</f>
        <v>231.76000000000002</v>
      </c>
      <c r="R31" s="7">
        <f>55*150/250+90.9*0.05</f>
        <v>37.545000000000002</v>
      </c>
      <c r="S31" s="7">
        <f>6.56*150/250+2.74*0.05</f>
        <v>4.0729999999999995</v>
      </c>
      <c r="T31" s="58"/>
    </row>
    <row r="32" spans="1:20" ht="15" customHeight="1" x14ac:dyDescent="0.35">
      <c r="A32" s="8" t="s">
        <v>4</v>
      </c>
      <c r="B32" s="39" t="s">
        <v>5</v>
      </c>
      <c r="C32" s="40"/>
      <c r="D32" s="40"/>
      <c r="E32" s="40"/>
      <c r="F32" s="41"/>
      <c r="G32" s="16" t="s">
        <v>45</v>
      </c>
      <c r="H32" s="7">
        <f>7.6*0.4</f>
        <v>3.04</v>
      </c>
      <c r="I32" s="7">
        <f>0.8*0.4</f>
        <v>0.32000000000000006</v>
      </c>
      <c r="J32" s="7">
        <f>49.2*0.4</f>
        <v>19.680000000000003</v>
      </c>
      <c r="K32" s="7">
        <f>235*0.35</f>
        <v>82.25</v>
      </c>
      <c r="L32" s="15">
        <f>0.11*0.4</f>
        <v>4.4000000000000004E-2</v>
      </c>
      <c r="M32" s="7">
        <v>0</v>
      </c>
      <c r="N32" s="15">
        <v>0</v>
      </c>
      <c r="O32" s="7">
        <f>1.1*0.4</f>
        <v>0.44000000000000006</v>
      </c>
      <c r="P32" s="9">
        <f>20*0.4</f>
        <v>8</v>
      </c>
      <c r="Q32" s="9">
        <f>65*0.4</f>
        <v>26</v>
      </c>
      <c r="R32" s="7">
        <f>14*0.4</f>
        <v>5.6000000000000005</v>
      </c>
      <c r="S32" s="7">
        <f>1.1*0.4</f>
        <v>0.44000000000000006</v>
      </c>
      <c r="T32" s="58"/>
    </row>
    <row r="33" spans="1:20" ht="15" customHeight="1" x14ac:dyDescent="0.35">
      <c r="A33" s="8" t="s">
        <v>0</v>
      </c>
      <c r="B33" s="39" t="s">
        <v>1</v>
      </c>
      <c r="C33" s="40"/>
      <c r="D33" s="40"/>
      <c r="E33" s="40"/>
      <c r="F33" s="41"/>
      <c r="G33" s="8">
        <v>20</v>
      </c>
      <c r="H33" s="7">
        <f>6.6*0.2</f>
        <v>1.32</v>
      </c>
      <c r="I33" s="7">
        <f>1.2*0.2</f>
        <v>0.24</v>
      </c>
      <c r="J33" s="7">
        <f>33.4*0.2</f>
        <v>6.68</v>
      </c>
      <c r="K33" s="7">
        <f>174*0.2</f>
        <v>34.800000000000004</v>
      </c>
      <c r="L33" s="15">
        <f>0.18*0.2</f>
        <v>3.5999999999999997E-2</v>
      </c>
      <c r="M33" s="7">
        <v>0</v>
      </c>
      <c r="N33" s="15">
        <v>0</v>
      </c>
      <c r="O33" s="7">
        <f>1.4*0.2</f>
        <v>0.27999999999999997</v>
      </c>
      <c r="P33" s="9">
        <f>35*0.2</f>
        <v>7</v>
      </c>
      <c r="Q33" s="9">
        <f>158*0.2</f>
        <v>31.6</v>
      </c>
      <c r="R33" s="7">
        <f>47*0.2</f>
        <v>9.4</v>
      </c>
      <c r="S33" s="7">
        <f>3.9*0.2</f>
        <v>0.78</v>
      </c>
      <c r="T33" s="58"/>
    </row>
    <row r="34" spans="1:20" ht="16.5" customHeight="1" x14ac:dyDescent="0.35">
      <c r="A34" s="8" t="s">
        <v>11</v>
      </c>
      <c r="B34" s="39" t="s">
        <v>48</v>
      </c>
      <c r="C34" s="40"/>
      <c r="D34" s="40"/>
      <c r="E34" s="40"/>
      <c r="F34" s="41"/>
      <c r="G34" s="16" t="s">
        <v>42</v>
      </c>
      <c r="H34" s="7">
        <v>0.5</v>
      </c>
      <c r="I34" s="7">
        <v>0.2</v>
      </c>
      <c r="J34" s="7">
        <v>23.1</v>
      </c>
      <c r="K34" s="7">
        <v>96</v>
      </c>
      <c r="L34" s="15">
        <v>0.02</v>
      </c>
      <c r="M34" s="7">
        <v>4.3</v>
      </c>
      <c r="N34" s="15">
        <v>0</v>
      </c>
      <c r="O34" s="33">
        <v>0.2</v>
      </c>
      <c r="P34" s="9">
        <v>22</v>
      </c>
      <c r="Q34" s="9">
        <v>16</v>
      </c>
      <c r="R34" s="7">
        <v>14</v>
      </c>
      <c r="S34" s="7">
        <v>1.1000000000000001</v>
      </c>
      <c r="T34" s="58"/>
    </row>
    <row r="35" spans="1:20" x14ac:dyDescent="0.35">
      <c r="A35" s="12"/>
      <c r="B35" s="43" t="s">
        <v>26</v>
      </c>
      <c r="C35" s="43"/>
      <c r="D35" s="43"/>
      <c r="E35" s="43"/>
      <c r="F35" s="43"/>
      <c r="G35" s="31">
        <f>G34+G33+G32+G31+G30</f>
        <v>520</v>
      </c>
      <c r="H35" s="20">
        <f t="shared" ref="H35:S35" si="3">SUM(H30:H34)</f>
        <v>18.995000000000001</v>
      </c>
      <c r="I35" s="20">
        <f t="shared" si="3"/>
        <v>19.344999999999999</v>
      </c>
      <c r="J35" s="20">
        <f t="shared" si="3"/>
        <v>69.284999999999997</v>
      </c>
      <c r="K35" s="20">
        <f t="shared" si="3"/>
        <v>516.15000000000009</v>
      </c>
      <c r="L35" s="21">
        <f t="shared" si="3"/>
        <v>0.33150000000000002</v>
      </c>
      <c r="M35" s="20">
        <f t="shared" si="3"/>
        <v>16.16</v>
      </c>
      <c r="N35" s="21">
        <f t="shared" si="3"/>
        <v>3531.12</v>
      </c>
      <c r="O35" s="20">
        <f t="shared" si="3"/>
        <v>4.13</v>
      </c>
      <c r="P35" s="22">
        <f t="shared" si="3"/>
        <v>164</v>
      </c>
      <c r="Q35" s="22">
        <f t="shared" si="3"/>
        <v>349.94000000000005</v>
      </c>
      <c r="R35" s="20">
        <f t="shared" si="3"/>
        <v>77.465000000000003</v>
      </c>
      <c r="S35" s="20">
        <f t="shared" si="3"/>
        <v>7.0649999999999995</v>
      </c>
      <c r="T35" s="58"/>
    </row>
    <row r="36" spans="1:20" x14ac:dyDescent="0.35">
      <c r="A36" s="46" t="s">
        <v>23</v>
      </c>
      <c r="B36" s="52"/>
      <c r="C36" s="52"/>
      <c r="D36" s="52"/>
      <c r="E36" s="52"/>
      <c r="F36" s="53"/>
      <c r="G36" s="13"/>
      <c r="H36" s="20"/>
      <c r="I36" s="20"/>
      <c r="J36" s="20"/>
      <c r="K36" s="20"/>
      <c r="L36" s="21"/>
      <c r="M36" s="20"/>
      <c r="N36" s="21"/>
      <c r="O36" s="20"/>
      <c r="P36" s="22"/>
      <c r="Q36" s="22"/>
      <c r="R36" s="20"/>
      <c r="S36" s="20"/>
      <c r="T36" s="58"/>
    </row>
    <row r="37" spans="1:20" ht="18.75" customHeight="1" x14ac:dyDescent="0.35">
      <c r="A37" s="8" t="s">
        <v>10</v>
      </c>
      <c r="B37" s="36" t="s">
        <v>71</v>
      </c>
      <c r="C37" s="44"/>
      <c r="D37" s="44"/>
      <c r="E37" s="44"/>
      <c r="F37" s="45"/>
      <c r="G37" s="24">
        <v>200</v>
      </c>
      <c r="H37" s="7">
        <v>5.8</v>
      </c>
      <c r="I37" s="7">
        <v>5</v>
      </c>
      <c r="J37" s="7">
        <v>8.4</v>
      </c>
      <c r="K37" s="7">
        <v>102</v>
      </c>
      <c r="L37" s="15">
        <v>0.04</v>
      </c>
      <c r="M37" s="7">
        <v>0.6</v>
      </c>
      <c r="N37" s="15">
        <v>40</v>
      </c>
      <c r="O37" s="7">
        <v>0</v>
      </c>
      <c r="P37" s="9">
        <f>248</f>
        <v>248</v>
      </c>
      <c r="Q37" s="9">
        <v>184</v>
      </c>
      <c r="R37" s="7">
        <v>28</v>
      </c>
      <c r="S37" s="7">
        <v>0.2</v>
      </c>
      <c r="T37" s="58"/>
    </row>
    <row r="38" spans="1:20" x14ac:dyDescent="0.35">
      <c r="A38" s="10"/>
      <c r="B38" s="43" t="s">
        <v>27</v>
      </c>
      <c r="C38" s="43"/>
      <c r="D38" s="43"/>
      <c r="E38" s="43"/>
      <c r="F38" s="43"/>
      <c r="G38" s="6"/>
      <c r="H38" s="20">
        <f t="shared" ref="H38:S38" si="4">SUM(H37:H37)</f>
        <v>5.8</v>
      </c>
      <c r="I38" s="20">
        <f t="shared" si="4"/>
        <v>5</v>
      </c>
      <c r="J38" s="20">
        <f t="shared" si="4"/>
        <v>8.4</v>
      </c>
      <c r="K38" s="20">
        <f t="shared" si="4"/>
        <v>102</v>
      </c>
      <c r="L38" s="21">
        <f t="shared" si="4"/>
        <v>0.04</v>
      </c>
      <c r="M38" s="20">
        <f t="shared" si="4"/>
        <v>0.6</v>
      </c>
      <c r="N38" s="21">
        <f t="shared" si="4"/>
        <v>40</v>
      </c>
      <c r="O38" s="20">
        <f t="shared" si="4"/>
        <v>0</v>
      </c>
      <c r="P38" s="22">
        <f t="shared" si="4"/>
        <v>248</v>
      </c>
      <c r="Q38" s="22">
        <f t="shared" si="4"/>
        <v>184</v>
      </c>
      <c r="R38" s="20">
        <f t="shared" si="4"/>
        <v>28</v>
      </c>
      <c r="S38" s="20">
        <f t="shared" si="4"/>
        <v>0.2</v>
      </c>
      <c r="T38" s="58"/>
    </row>
    <row r="39" spans="1:20" x14ac:dyDescent="0.35">
      <c r="A39" s="46" t="s">
        <v>13</v>
      </c>
      <c r="B39" s="43"/>
      <c r="C39" s="43"/>
      <c r="D39" s="43"/>
      <c r="E39" s="43"/>
      <c r="F39" s="43"/>
      <c r="G39" s="47"/>
      <c r="H39" s="20">
        <f>H14+H23+H27+H35+H38</f>
        <v>89.851000000000013</v>
      </c>
      <c r="I39" s="20">
        <f>I14+I23+I27+I35+I38</f>
        <v>89.586250000000007</v>
      </c>
      <c r="J39" s="20">
        <f>J23+J14+J27+J35+J38</f>
        <v>355.30374999999992</v>
      </c>
      <c r="K39" s="20">
        <f>K23+K14+K27+K35+K38</f>
        <v>2593.7375000000002</v>
      </c>
      <c r="L39" s="21">
        <f>L14+L23+L27+L35+L38</f>
        <v>1.0306249999999999</v>
      </c>
      <c r="M39" s="20">
        <f>M14+M23+M27+M35+M38</f>
        <v>410.38375000000008</v>
      </c>
      <c r="N39" s="21">
        <f>N14+N23+N27+N35+N38</f>
        <v>3632.7714999999998</v>
      </c>
      <c r="O39" s="20">
        <f>O14+O23+O27+O35+O38</f>
        <v>15.995000000000001</v>
      </c>
      <c r="P39" s="22">
        <f>P23+P14+P27+P35+P38</f>
        <v>1159.7049999999999</v>
      </c>
      <c r="Q39" s="22">
        <f>Q14+Q23+Q27+Q35+Q38</f>
        <v>1719.5</v>
      </c>
      <c r="R39" s="20">
        <f>R14+R23+R27+R35+R38</f>
        <v>406.58749999999998</v>
      </c>
      <c r="S39" s="20">
        <f>S14+S23+S27+S35+S38</f>
        <v>19.136500000000002</v>
      </c>
      <c r="T39" s="59"/>
    </row>
    <row r="40" spans="1:20" x14ac:dyDescent="0.35">
      <c r="A40" s="2" t="s">
        <v>52</v>
      </c>
      <c r="B40" s="2" t="s">
        <v>59</v>
      </c>
      <c r="F40" s="25"/>
      <c r="G40" s="25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6"/>
    </row>
    <row r="41" spans="1:20" x14ac:dyDescent="0.35">
      <c r="A41" s="2" t="s">
        <v>53</v>
      </c>
      <c r="B41" s="2" t="s">
        <v>60</v>
      </c>
      <c r="F41" s="25"/>
      <c r="G41" s="25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6"/>
    </row>
    <row r="42" spans="1:20" x14ac:dyDescent="0.35">
      <c r="A42" s="2" t="s">
        <v>54</v>
      </c>
      <c r="B42" s="2" t="s">
        <v>55</v>
      </c>
      <c r="F42" s="25"/>
      <c r="G42" s="25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6"/>
    </row>
    <row r="43" spans="1:20" x14ac:dyDescent="0.35">
      <c r="A43" s="34" t="s">
        <v>56</v>
      </c>
      <c r="B43" s="35"/>
      <c r="C43" s="35"/>
      <c r="D43" s="5"/>
      <c r="E43" s="5" t="s">
        <v>58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20" ht="15.75" customHeight="1" x14ac:dyDescent="0.35">
      <c r="A44" s="42" t="s">
        <v>19</v>
      </c>
      <c r="B44" s="42" t="s">
        <v>16</v>
      </c>
      <c r="C44" s="42"/>
      <c r="D44" s="42"/>
      <c r="E44" s="42"/>
      <c r="F44" s="42"/>
      <c r="G44" s="48" t="s">
        <v>8</v>
      </c>
      <c r="H44" s="54" t="s">
        <v>14</v>
      </c>
      <c r="I44" s="54"/>
      <c r="J44" s="54"/>
      <c r="K44" s="54" t="s">
        <v>20</v>
      </c>
      <c r="L44" s="42" t="s">
        <v>9</v>
      </c>
      <c r="M44" s="42"/>
      <c r="N44" s="42"/>
      <c r="O44" s="42"/>
      <c r="P44" s="42" t="s">
        <v>47</v>
      </c>
      <c r="Q44" s="42"/>
      <c r="R44" s="42"/>
      <c r="S44" s="42"/>
      <c r="T44" s="57" t="s">
        <v>62</v>
      </c>
    </row>
    <row r="45" spans="1:20" x14ac:dyDescent="0.35">
      <c r="A45" s="42"/>
      <c r="B45" s="42"/>
      <c r="C45" s="42"/>
      <c r="D45" s="42"/>
      <c r="E45" s="42"/>
      <c r="F45" s="42"/>
      <c r="G45" s="49"/>
      <c r="H45" s="7" t="s">
        <v>40</v>
      </c>
      <c r="I45" s="7" t="s">
        <v>33</v>
      </c>
      <c r="J45" s="7" t="s">
        <v>31</v>
      </c>
      <c r="K45" s="54"/>
      <c r="L45" s="8" t="s">
        <v>41</v>
      </c>
      <c r="M45" s="7" t="s">
        <v>32</v>
      </c>
      <c r="N45" s="8" t="s">
        <v>30</v>
      </c>
      <c r="O45" s="7" t="s">
        <v>38</v>
      </c>
      <c r="P45" s="9" t="s">
        <v>37</v>
      </c>
      <c r="Q45" s="9" t="s">
        <v>39</v>
      </c>
      <c r="R45" s="9" t="s">
        <v>35</v>
      </c>
      <c r="S45" s="7" t="s">
        <v>34</v>
      </c>
      <c r="T45" s="58"/>
    </row>
    <row r="46" spans="1:20" x14ac:dyDescent="0.35">
      <c r="A46" s="8">
        <v>1</v>
      </c>
      <c r="B46" s="39">
        <v>2</v>
      </c>
      <c r="C46" s="40"/>
      <c r="D46" s="40"/>
      <c r="E46" s="40"/>
      <c r="F46" s="41"/>
      <c r="G46" s="6">
        <v>3</v>
      </c>
      <c r="H46" s="11">
        <v>4</v>
      </c>
      <c r="I46" s="11">
        <v>5</v>
      </c>
      <c r="J46" s="6">
        <v>6</v>
      </c>
      <c r="K46" s="6">
        <v>7</v>
      </c>
      <c r="L46" s="6">
        <v>8</v>
      </c>
      <c r="M46" s="6">
        <v>9</v>
      </c>
      <c r="N46" s="6">
        <v>10</v>
      </c>
      <c r="O46" s="6">
        <v>11</v>
      </c>
      <c r="P46" s="6">
        <v>12</v>
      </c>
      <c r="Q46" s="6">
        <v>13</v>
      </c>
      <c r="R46" s="6">
        <v>14</v>
      </c>
      <c r="S46" s="6">
        <v>15</v>
      </c>
      <c r="T46" s="58"/>
    </row>
    <row r="47" spans="1:20" x14ac:dyDescent="0.35">
      <c r="A47" s="46" t="s">
        <v>17</v>
      </c>
      <c r="B47" s="43"/>
      <c r="C47" s="43"/>
      <c r="D47" s="43"/>
      <c r="E47" s="43"/>
      <c r="F47" s="47"/>
      <c r="G47" s="8"/>
      <c r="H47" s="7"/>
      <c r="I47" s="7"/>
      <c r="J47" s="7"/>
      <c r="K47" s="7"/>
      <c r="L47" s="8"/>
      <c r="M47" s="7"/>
      <c r="N47" s="8"/>
      <c r="O47" s="7"/>
      <c r="P47" s="9"/>
      <c r="Q47" s="9"/>
      <c r="R47" s="9"/>
      <c r="S47" s="7"/>
      <c r="T47" s="58"/>
    </row>
    <row r="48" spans="1:20" x14ac:dyDescent="0.35">
      <c r="A48" s="8" t="s">
        <v>51</v>
      </c>
      <c r="B48" s="39" t="s">
        <v>15</v>
      </c>
      <c r="C48" s="40"/>
      <c r="D48" s="40"/>
      <c r="E48" s="40"/>
      <c r="F48" s="41"/>
      <c r="G48" s="14">
        <v>250</v>
      </c>
      <c r="H48" s="7">
        <f>27.7*0.25</f>
        <v>6.9249999999999998</v>
      </c>
      <c r="I48" s="7">
        <f>43.1*0.25</f>
        <v>10.775</v>
      </c>
      <c r="J48" s="7">
        <f>162*0.25</f>
        <v>40.5</v>
      </c>
      <c r="K48" s="7">
        <f>1147*0.25</f>
        <v>286.75</v>
      </c>
      <c r="L48" s="15">
        <f>0.32*0.25</f>
        <v>0.08</v>
      </c>
      <c r="M48" s="7">
        <f>7.7*0.25</f>
        <v>1.925</v>
      </c>
      <c r="N48" s="15">
        <f>0.27*0.25</f>
        <v>6.7500000000000004E-2</v>
      </c>
      <c r="O48" s="7">
        <f>0.9*0.25</f>
        <v>0.22500000000000001</v>
      </c>
      <c r="P48" s="9">
        <f>717*0.25</f>
        <v>179.25</v>
      </c>
      <c r="Q48" s="9">
        <f>759*0.25</f>
        <v>189.75</v>
      </c>
      <c r="R48" s="7">
        <f>158*0.25</f>
        <v>39.5</v>
      </c>
      <c r="S48" s="7">
        <f>2.2*0.25</f>
        <v>0.55000000000000004</v>
      </c>
      <c r="T48" s="58"/>
    </row>
    <row r="49" spans="1:20" ht="15.75" customHeight="1" x14ac:dyDescent="0.35">
      <c r="A49" s="8" t="s">
        <v>81</v>
      </c>
      <c r="B49" s="36" t="s">
        <v>82</v>
      </c>
      <c r="C49" s="37"/>
      <c r="D49" s="37"/>
      <c r="E49" s="37"/>
      <c r="F49" s="38"/>
      <c r="G49" s="16" t="s">
        <v>44</v>
      </c>
      <c r="H49" s="7">
        <v>6.03</v>
      </c>
      <c r="I49" s="7">
        <v>3.67</v>
      </c>
      <c r="J49" s="7">
        <v>14.84</v>
      </c>
      <c r="K49" s="7">
        <v>117</v>
      </c>
      <c r="L49" s="15">
        <v>0</v>
      </c>
      <c r="M49" s="7">
        <v>0.06</v>
      </c>
      <c r="N49" s="15">
        <v>31.5</v>
      </c>
      <c r="O49" s="7">
        <v>0</v>
      </c>
      <c r="P49" s="17">
        <v>150</v>
      </c>
      <c r="Q49" s="17">
        <v>90</v>
      </c>
      <c r="R49" s="18">
        <v>8.25</v>
      </c>
      <c r="S49" s="7">
        <v>0.11</v>
      </c>
      <c r="T49" s="58"/>
    </row>
    <row r="50" spans="1:20" ht="15.75" customHeight="1" x14ac:dyDescent="0.35">
      <c r="A50" s="8" t="s">
        <v>72</v>
      </c>
      <c r="B50" s="36" t="s">
        <v>73</v>
      </c>
      <c r="C50" s="50"/>
      <c r="D50" s="50"/>
      <c r="E50" s="50"/>
      <c r="F50" s="51"/>
      <c r="G50" s="24">
        <v>100</v>
      </c>
      <c r="H50" s="7">
        <v>11</v>
      </c>
      <c r="I50" s="7">
        <v>5</v>
      </c>
      <c r="J50" s="7">
        <v>19.2</v>
      </c>
      <c r="K50" s="7">
        <v>167</v>
      </c>
      <c r="L50" s="15">
        <v>0.03</v>
      </c>
      <c r="M50" s="7">
        <v>0.5</v>
      </c>
      <c r="N50" s="15">
        <v>30</v>
      </c>
      <c r="O50" s="7">
        <v>0</v>
      </c>
      <c r="P50" s="9">
        <v>124</v>
      </c>
      <c r="Q50" s="9">
        <v>165</v>
      </c>
      <c r="R50" s="7">
        <v>17</v>
      </c>
      <c r="S50" s="7">
        <v>0.3</v>
      </c>
      <c r="T50" s="58"/>
    </row>
    <row r="51" spans="1:20" ht="15.75" customHeight="1" x14ac:dyDescent="0.35">
      <c r="A51" s="8" t="s">
        <v>2</v>
      </c>
      <c r="B51" s="39" t="s">
        <v>49</v>
      </c>
      <c r="C51" s="40"/>
      <c r="D51" s="40"/>
      <c r="E51" s="40"/>
      <c r="F51" s="41"/>
      <c r="G51" s="16" t="s">
        <v>42</v>
      </c>
      <c r="H51" s="7">
        <f>0.8*2</f>
        <v>1.6</v>
      </c>
      <c r="I51" s="7">
        <f>0.4*2</f>
        <v>0.8</v>
      </c>
      <c r="J51" s="7">
        <f>8.1*2</f>
        <v>16.2</v>
      </c>
      <c r="K51" s="7">
        <f>47*2</f>
        <v>94</v>
      </c>
      <c r="L51" s="15">
        <f>0.04*2</f>
        <v>0.08</v>
      </c>
      <c r="M51" s="1">
        <f>180*2</f>
        <v>360</v>
      </c>
      <c r="N51" s="15">
        <v>0</v>
      </c>
      <c r="O51" s="7">
        <f>0.4*2</f>
        <v>0.8</v>
      </c>
      <c r="P51" s="17">
        <f>8*2</f>
        <v>16</v>
      </c>
      <c r="Q51" s="17">
        <f>28*2</f>
        <v>56</v>
      </c>
      <c r="R51" s="18">
        <f>42*2</f>
        <v>84</v>
      </c>
      <c r="S51" s="7">
        <f>0.6*2</f>
        <v>1.2</v>
      </c>
      <c r="T51" s="58"/>
    </row>
    <row r="52" spans="1:20" ht="15.75" customHeight="1" x14ac:dyDescent="0.35">
      <c r="A52" s="8" t="s">
        <v>74</v>
      </c>
      <c r="B52" s="39" t="s">
        <v>75</v>
      </c>
      <c r="C52" s="40"/>
      <c r="D52" s="40"/>
      <c r="E52" s="40"/>
      <c r="F52" s="41"/>
      <c r="G52" s="8">
        <v>200</v>
      </c>
      <c r="H52" s="7">
        <v>0.2</v>
      </c>
      <c r="I52" s="7">
        <v>0.1</v>
      </c>
      <c r="J52" s="7">
        <v>9.3000000000000007</v>
      </c>
      <c r="K52" s="7">
        <v>38</v>
      </c>
      <c r="L52" s="15">
        <v>0</v>
      </c>
      <c r="M52" s="7">
        <v>0</v>
      </c>
      <c r="N52" s="15">
        <v>0</v>
      </c>
      <c r="O52" s="7">
        <v>0</v>
      </c>
      <c r="P52" s="9">
        <v>5.0999999999999996</v>
      </c>
      <c r="Q52" s="9">
        <v>7.7</v>
      </c>
      <c r="R52" s="7">
        <v>4.2</v>
      </c>
      <c r="S52" s="7">
        <v>0.82</v>
      </c>
      <c r="T52" s="58"/>
    </row>
    <row r="53" spans="1:20" x14ac:dyDescent="0.35">
      <c r="A53" s="19"/>
      <c r="B53" s="43" t="s">
        <v>6</v>
      </c>
      <c r="C53" s="43"/>
      <c r="D53" s="43"/>
      <c r="E53" s="43"/>
      <c r="F53" s="47"/>
      <c r="G53" s="32">
        <f>G52+G51+G50+G49+G48</f>
        <v>800</v>
      </c>
      <c r="H53" s="20">
        <f t="shared" ref="H53:S53" si="5">SUM(H48:H52)</f>
        <v>25.754999999999999</v>
      </c>
      <c r="I53" s="20">
        <f t="shared" si="5"/>
        <v>20.345000000000002</v>
      </c>
      <c r="J53" s="20">
        <f t="shared" si="5"/>
        <v>100.04</v>
      </c>
      <c r="K53" s="20">
        <f t="shared" si="5"/>
        <v>702.75</v>
      </c>
      <c r="L53" s="21">
        <f t="shared" si="5"/>
        <v>0.19</v>
      </c>
      <c r="M53" s="20">
        <f t="shared" si="5"/>
        <v>362.48500000000001</v>
      </c>
      <c r="N53" s="21">
        <f t="shared" si="5"/>
        <v>61.567499999999995</v>
      </c>
      <c r="O53" s="20">
        <f t="shared" si="5"/>
        <v>1.0250000000000001</v>
      </c>
      <c r="P53" s="22">
        <f t="shared" si="5"/>
        <v>474.35</v>
      </c>
      <c r="Q53" s="22">
        <f t="shared" si="5"/>
        <v>508.45</v>
      </c>
      <c r="R53" s="20">
        <f t="shared" si="5"/>
        <v>152.94999999999999</v>
      </c>
      <c r="S53" s="20">
        <f t="shared" si="5"/>
        <v>2.98</v>
      </c>
      <c r="T53" s="58"/>
    </row>
    <row r="54" spans="1:20" x14ac:dyDescent="0.35">
      <c r="A54" s="46" t="s">
        <v>18</v>
      </c>
      <c r="B54" s="43"/>
      <c r="C54" s="43"/>
      <c r="D54" s="43"/>
      <c r="E54" s="43"/>
      <c r="F54" s="47"/>
      <c r="G54" s="14"/>
      <c r="H54" s="7"/>
      <c r="I54" s="7"/>
      <c r="J54" s="7"/>
      <c r="K54" s="7"/>
      <c r="L54" s="15"/>
      <c r="M54" s="7"/>
      <c r="N54" s="15"/>
      <c r="O54" s="7"/>
      <c r="P54" s="9"/>
      <c r="Q54" s="9"/>
      <c r="R54" s="7"/>
      <c r="S54" s="7"/>
      <c r="T54" s="58"/>
    </row>
    <row r="55" spans="1:20" ht="20.25" customHeight="1" x14ac:dyDescent="0.35">
      <c r="A55" s="28" t="s">
        <v>68</v>
      </c>
      <c r="B55" s="39" t="s">
        <v>67</v>
      </c>
      <c r="C55" s="40"/>
      <c r="D55" s="40"/>
      <c r="E55" s="40"/>
      <c r="F55" s="41"/>
      <c r="G55" s="14">
        <v>100</v>
      </c>
      <c r="H55" s="7">
        <f>3.1</f>
        <v>3.1</v>
      </c>
      <c r="I55" s="7">
        <f>6.9</f>
        <v>6.9</v>
      </c>
      <c r="J55" s="7">
        <f>21.9</f>
        <v>21.9</v>
      </c>
      <c r="K55" s="7">
        <f>162</f>
        <v>162</v>
      </c>
      <c r="L55" s="15">
        <f>0.09</f>
        <v>0.09</v>
      </c>
      <c r="M55" s="7">
        <f>10.2</f>
        <v>10.199999999999999</v>
      </c>
      <c r="N55" s="15">
        <f>0</f>
        <v>0</v>
      </c>
      <c r="O55" s="7">
        <f>3.1</f>
        <v>3.1</v>
      </c>
      <c r="P55" s="9">
        <f>20</f>
        <v>20</v>
      </c>
      <c r="Q55" s="9">
        <f>86</f>
        <v>86</v>
      </c>
      <c r="R55" s="7">
        <f>34</f>
        <v>34</v>
      </c>
      <c r="S55" s="7">
        <f>1.3</f>
        <v>1.3</v>
      </c>
      <c r="T55" s="58"/>
    </row>
    <row r="56" spans="1:20" ht="31.5" customHeight="1" x14ac:dyDescent="0.35">
      <c r="A56" s="28" t="s">
        <v>77</v>
      </c>
      <c r="B56" s="36" t="s">
        <v>76</v>
      </c>
      <c r="C56" s="37"/>
      <c r="D56" s="37"/>
      <c r="E56" s="37"/>
      <c r="F56" s="38"/>
      <c r="G56" s="14">
        <v>250</v>
      </c>
      <c r="H56" s="7">
        <f>7*0.25+5*0.2+26*0.02</f>
        <v>3.27</v>
      </c>
      <c r="I56" s="7">
        <f>19.9*0.25+1*0.2+150*0.02</f>
        <v>8.1750000000000007</v>
      </c>
      <c r="J56" s="7">
        <f>31.1*0.25+36*0.02</f>
        <v>8.495000000000001</v>
      </c>
      <c r="K56" s="7">
        <f>332*0.25+29*0.2+1620*0.02</f>
        <v>121.19999999999999</v>
      </c>
      <c r="L56" s="15">
        <f>0.23*0.25+0.1*0.2+0.3*0.02</f>
        <v>8.3500000000000019E-2</v>
      </c>
      <c r="M56" s="7">
        <f>73.9*0.25+4*0.02</f>
        <v>18.555</v>
      </c>
      <c r="N56" s="15">
        <f>0+1*0.02</f>
        <v>0.02</v>
      </c>
      <c r="O56" s="7">
        <f>9.5*0.25+3*0.02</f>
        <v>2.4350000000000001</v>
      </c>
      <c r="P56" s="9">
        <f>136*0.25+50*0.2+880*0.02</f>
        <v>61.6</v>
      </c>
      <c r="Q56" s="9">
        <f>190*0.25+987*0.2+610*0.02</f>
        <v>257.10000000000002</v>
      </c>
      <c r="R56" s="7">
        <f>89*0.25+40*0.2+90*0.02</f>
        <v>32.049999999999997</v>
      </c>
      <c r="S56" s="7">
        <f>3.2*0.25+2*0.02</f>
        <v>0.84000000000000008</v>
      </c>
      <c r="T56" s="58"/>
    </row>
    <row r="57" spans="1:20" ht="29.25" customHeight="1" x14ac:dyDescent="0.35">
      <c r="A57" s="8" t="s">
        <v>64</v>
      </c>
      <c r="B57" s="36" t="s">
        <v>63</v>
      </c>
      <c r="C57" s="37"/>
      <c r="D57" s="37"/>
      <c r="E57" s="37"/>
      <c r="F57" s="38"/>
      <c r="G57" s="14">
        <v>120</v>
      </c>
      <c r="H57" s="7">
        <f>13.6</f>
        <v>13.6</v>
      </c>
      <c r="I57" s="7">
        <f>13.5</f>
        <v>13.5</v>
      </c>
      <c r="J57" s="7">
        <f>4.1</f>
        <v>4.0999999999999996</v>
      </c>
      <c r="K57" s="7">
        <f>192</f>
        <v>192</v>
      </c>
      <c r="L57" s="15">
        <f>0.02</f>
        <v>0.02</v>
      </c>
      <c r="M57" s="7">
        <f>2.3</f>
        <v>2.2999999999999998</v>
      </c>
      <c r="N57" s="15">
        <f>0.03</f>
        <v>0.03</v>
      </c>
      <c r="O57" s="7">
        <f>0.5</f>
        <v>0.5</v>
      </c>
      <c r="P57" s="9">
        <f>34</f>
        <v>34</v>
      </c>
      <c r="Q57" s="9">
        <f>90</f>
        <v>90</v>
      </c>
      <c r="R57" s="7">
        <f>16</f>
        <v>16</v>
      </c>
      <c r="S57" s="7">
        <f>1</f>
        <v>1</v>
      </c>
      <c r="T57" s="58"/>
    </row>
    <row r="58" spans="1:20" ht="15" customHeight="1" x14ac:dyDescent="0.35">
      <c r="A58" s="8" t="s">
        <v>12</v>
      </c>
      <c r="B58" s="39" t="s">
        <v>24</v>
      </c>
      <c r="C58" s="40"/>
      <c r="D58" s="40"/>
      <c r="E58" s="40"/>
      <c r="F58" s="41"/>
      <c r="G58" s="24">
        <v>230</v>
      </c>
      <c r="H58" s="7">
        <f>36.78*0.23</f>
        <v>8.4594000000000005</v>
      </c>
      <c r="I58" s="7">
        <f>30.1*0.23</f>
        <v>6.9230000000000009</v>
      </c>
      <c r="J58" s="7">
        <f>176.3*0.23</f>
        <v>40.549000000000007</v>
      </c>
      <c r="K58" s="7">
        <f>1123*0.23</f>
        <v>258.29000000000002</v>
      </c>
      <c r="L58" s="15">
        <f>0.37*0.23</f>
        <v>8.5100000000000009E-2</v>
      </c>
      <c r="M58" s="7">
        <v>0</v>
      </c>
      <c r="N58" s="15">
        <v>0</v>
      </c>
      <c r="O58" s="7">
        <v>0</v>
      </c>
      <c r="P58" s="9">
        <f>32.4*0.23</f>
        <v>7.452</v>
      </c>
      <c r="Q58" s="9">
        <f>247.8*0.23</f>
        <v>56.994000000000007</v>
      </c>
      <c r="R58" s="7">
        <f>140.8*0.23</f>
        <v>32.384000000000007</v>
      </c>
      <c r="S58" s="7">
        <f>7.37*0.23</f>
        <v>1.6951000000000001</v>
      </c>
      <c r="T58" s="58"/>
    </row>
    <row r="59" spans="1:20" ht="16.5" customHeight="1" x14ac:dyDescent="0.35">
      <c r="A59" s="8" t="s">
        <v>4</v>
      </c>
      <c r="B59" s="39" t="s">
        <v>5</v>
      </c>
      <c r="C59" s="55"/>
      <c r="D59" s="55"/>
      <c r="E59" s="55"/>
      <c r="F59" s="56"/>
      <c r="G59" s="16" t="s">
        <v>46</v>
      </c>
      <c r="H59" s="7">
        <f>7.6*0.6</f>
        <v>4.5599999999999996</v>
      </c>
      <c r="I59" s="7">
        <f>0.8*0.6</f>
        <v>0.48</v>
      </c>
      <c r="J59" s="7">
        <f>49.2*0.6</f>
        <v>29.52</v>
      </c>
      <c r="K59" s="7">
        <f>235*0.6</f>
        <v>141</v>
      </c>
      <c r="L59" s="15">
        <f>0.11*0.6</f>
        <v>6.6000000000000003E-2</v>
      </c>
      <c r="M59" s="7">
        <v>0</v>
      </c>
      <c r="N59" s="15">
        <v>0</v>
      </c>
      <c r="O59" s="7">
        <f>1.1*0.6</f>
        <v>0.66</v>
      </c>
      <c r="P59" s="9">
        <f>20*0.6</f>
        <v>12</v>
      </c>
      <c r="Q59" s="9">
        <f>65*0.6</f>
        <v>39</v>
      </c>
      <c r="R59" s="7">
        <f>14*0.6</f>
        <v>8.4</v>
      </c>
      <c r="S59" s="7">
        <f>1.1*0.6</f>
        <v>0.66</v>
      </c>
      <c r="T59" s="58"/>
    </row>
    <row r="60" spans="1:20" ht="18" customHeight="1" x14ac:dyDescent="0.35">
      <c r="A60" s="8" t="s">
        <v>0</v>
      </c>
      <c r="B60" s="39" t="s">
        <v>1</v>
      </c>
      <c r="C60" s="55"/>
      <c r="D60" s="55"/>
      <c r="E60" s="55"/>
      <c r="F60" s="56"/>
      <c r="G60" s="8">
        <v>30</v>
      </c>
      <c r="H60" s="7">
        <f>6.6*0.3</f>
        <v>1.9799999999999998</v>
      </c>
      <c r="I60" s="7">
        <f>1.2*0.3</f>
        <v>0.36</v>
      </c>
      <c r="J60" s="7">
        <f>33.4*0.3</f>
        <v>10.02</v>
      </c>
      <c r="K60" s="7">
        <f>174*0.3</f>
        <v>52.199999999999996</v>
      </c>
      <c r="L60" s="15">
        <f>0.18*0.3</f>
        <v>5.3999999999999999E-2</v>
      </c>
      <c r="M60" s="7">
        <v>0</v>
      </c>
      <c r="N60" s="15">
        <v>0</v>
      </c>
      <c r="O60" s="7">
        <f>1.4*0.3</f>
        <v>0.42</v>
      </c>
      <c r="P60" s="9">
        <f>35*0.3</f>
        <v>10.5</v>
      </c>
      <c r="Q60" s="9">
        <f>158*0.3</f>
        <v>47.4</v>
      </c>
      <c r="R60" s="7">
        <f>47*0.3</f>
        <v>14.1</v>
      </c>
      <c r="S60" s="7">
        <f>3.9*0.3</f>
        <v>1.17</v>
      </c>
      <c r="T60" s="58"/>
    </row>
    <row r="61" spans="1:20" ht="22.5" customHeight="1" x14ac:dyDescent="0.35">
      <c r="A61" s="8" t="s">
        <v>3</v>
      </c>
      <c r="B61" s="36" t="s">
        <v>25</v>
      </c>
      <c r="C61" s="37"/>
      <c r="D61" s="37"/>
      <c r="E61" s="37"/>
      <c r="F61" s="38"/>
      <c r="G61" s="24">
        <v>200</v>
      </c>
      <c r="H61" s="7">
        <v>0.5</v>
      </c>
      <c r="I61" s="7">
        <v>0</v>
      </c>
      <c r="J61" s="7">
        <v>27</v>
      </c>
      <c r="K61" s="7">
        <v>110</v>
      </c>
      <c r="L61" s="15">
        <v>0.01</v>
      </c>
      <c r="M61" s="7">
        <v>0.5</v>
      </c>
      <c r="N61" s="15">
        <v>0</v>
      </c>
      <c r="O61" s="7">
        <v>0</v>
      </c>
      <c r="P61" s="9">
        <v>28</v>
      </c>
      <c r="Q61" s="9">
        <v>19</v>
      </c>
      <c r="R61" s="7">
        <v>7</v>
      </c>
      <c r="S61" s="7">
        <v>1.5</v>
      </c>
      <c r="T61" s="58"/>
    </row>
    <row r="62" spans="1:20" x14ac:dyDescent="0.35">
      <c r="A62" s="12"/>
      <c r="B62" s="43" t="s">
        <v>7</v>
      </c>
      <c r="C62" s="43"/>
      <c r="D62" s="43"/>
      <c r="E62" s="43"/>
      <c r="F62" s="43"/>
      <c r="G62" s="31">
        <f>G61+G60+G59+G58+G57+G56+G55</f>
        <v>990</v>
      </c>
      <c r="H62" s="20">
        <f t="shared" ref="H62:S62" si="6">SUM(H55:H61)</f>
        <v>35.4694</v>
      </c>
      <c r="I62" s="20">
        <f t="shared" si="6"/>
        <v>36.338000000000001</v>
      </c>
      <c r="J62" s="20">
        <f t="shared" si="6"/>
        <v>141.584</v>
      </c>
      <c r="K62" s="20">
        <f t="shared" si="6"/>
        <v>1036.69</v>
      </c>
      <c r="L62" s="21">
        <f t="shared" si="6"/>
        <v>0.40860000000000002</v>
      </c>
      <c r="M62" s="20">
        <f t="shared" si="6"/>
        <v>31.555</v>
      </c>
      <c r="N62" s="21">
        <f t="shared" si="6"/>
        <v>0.05</v>
      </c>
      <c r="O62" s="20">
        <f t="shared" si="6"/>
        <v>7.1150000000000002</v>
      </c>
      <c r="P62" s="22">
        <f t="shared" si="6"/>
        <v>173.55199999999999</v>
      </c>
      <c r="Q62" s="22">
        <f t="shared" si="6"/>
        <v>595.49400000000003</v>
      </c>
      <c r="R62" s="20">
        <f t="shared" si="6"/>
        <v>143.934</v>
      </c>
      <c r="S62" s="20">
        <f t="shared" si="6"/>
        <v>8.1651000000000007</v>
      </c>
      <c r="T62" s="58"/>
    </row>
    <row r="63" spans="1:20" x14ac:dyDescent="0.35">
      <c r="A63" s="46" t="s">
        <v>21</v>
      </c>
      <c r="B63" s="52"/>
      <c r="C63" s="52"/>
      <c r="D63" s="52"/>
      <c r="E63" s="52"/>
      <c r="F63" s="53"/>
      <c r="G63" s="13"/>
      <c r="H63" s="20"/>
      <c r="I63" s="20"/>
      <c r="J63" s="20"/>
      <c r="K63" s="20"/>
      <c r="L63" s="21"/>
      <c r="M63" s="20"/>
      <c r="N63" s="21"/>
      <c r="O63" s="20"/>
      <c r="P63" s="22"/>
      <c r="Q63" s="22"/>
      <c r="R63" s="20"/>
      <c r="S63" s="20"/>
      <c r="T63" s="58"/>
    </row>
    <row r="64" spans="1:20" ht="20.25" customHeight="1" x14ac:dyDescent="0.35">
      <c r="A64" s="8" t="s">
        <v>50</v>
      </c>
      <c r="B64" s="36" t="s">
        <v>29</v>
      </c>
      <c r="C64" s="37"/>
      <c r="D64" s="37"/>
      <c r="E64" s="37"/>
      <c r="F64" s="38"/>
      <c r="G64" s="8">
        <v>200</v>
      </c>
      <c r="H64" s="7">
        <v>1.5</v>
      </c>
      <c r="I64" s="7">
        <v>1.3</v>
      </c>
      <c r="J64" s="7">
        <v>15.9</v>
      </c>
      <c r="K64" s="7">
        <v>81</v>
      </c>
      <c r="L64" s="15">
        <v>0.04</v>
      </c>
      <c r="M64" s="7">
        <v>1.3</v>
      </c>
      <c r="N64" s="15">
        <v>0.01</v>
      </c>
      <c r="O64" s="7">
        <v>0</v>
      </c>
      <c r="P64" s="9">
        <v>127</v>
      </c>
      <c r="Q64" s="9">
        <v>93</v>
      </c>
      <c r="R64" s="7">
        <v>15</v>
      </c>
      <c r="S64" s="7">
        <v>0.4</v>
      </c>
      <c r="T64" s="58"/>
    </row>
    <row r="65" spans="1:20" ht="19.5" customHeight="1" x14ac:dyDescent="0.35">
      <c r="A65" s="8" t="s">
        <v>66</v>
      </c>
      <c r="B65" s="36" t="s">
        <v>65</v>
      </c>
      <c r="C65" s="37"/>
      <c r="D65" s="37"/>
      <c r="E65" s="37"/>
      <c r="F65" s="38"/>
      <c r="G65" s="16" t="s">
        <v>69</v>
      </c>
      <c r="H65" s="7">
        <v>8.4</v>
      </c>
      <c r="I65" s="7">
        <v>13.1</v>
      </c>
      <c r="J65" s="7">
        <v>57.3</v>
      </c>
      <c r="K65" s="7">
        <v>381</v>
      </c>
      <c r="L65" s="15">
        <v>0.11</v>
      </c>
      <c r="M65" s="7">
        <v>1.3</v>
      </c>
      <c r="N65" s="15">
        <v>0.04</v>
      </c>
      <c r="O65" s="7">
        <v>5.2</v>
      </c>
      <c r="P65" s="9">
        <v>22</v>
      </c>
      <c r="Q65" s="9">
        <v>80</v>
      </c>
      <c r="R65" s="7">
        <v>15</v>
      </c>
      <c r="S65" s="7">
        <v>1.4</v>
      </c>
      <c r="T65" s="58"/>
    </row>
    <row r="66" spans="1:20" x14ac:dyDescent="0.35">
      <c r="A66" s="12"/>
      <c r="B66" s="46"/>
      <c r="C66" s="43"/>
      <c r="D66" s="43"/>
      <c r="E66" s="43"/>
      <c r="F66" s="47"/>
      <c r="G66" s="30">
        <f>G65+G64</f>
        <v>360</v>
      </c>
      <c r="H66" s="29">
        <f t="shared" ref="H66:S66" si="7">SUM(H64:H65)</f>
        <v>9.9</v>
      </c>
      <c r="I66" s="20">
        <f t="shared" si="7"/>
        <v>14.4</v>
      </c>
      <c r="J66" s="20">
        <f t="shared" si="7"/>
        <v>73.2</v>
      </c>
      <c r="K66" s="20">
        <f t="shared" si="7"/>
        <v>462</v>
      </c>
      <c r="L66" s="21">
        <f t="shared" si="7"/>
        <v>0.15</v>
      </c>
      <c r="M66" s="20">
        <f t="shared" si="7"/>
        <v>2.6</v>
      </c>
      <c r="N66" s="21">
        <f t="shared" si="7"/>
        <v>0.05</v>
      </c>
      <c r="O66" s="20">
        <f t="shared" si="7"/>
        <v>5.2</v>
      </c>
      <c r="P66" s="22">
        <f t="shared" si="7"/>
        <v>149</v>
      </c>
      <c r="Q66" s="22">
        <f t="shared" si="7"/>
        <v>173</v>
      </c>
      <c r="R66" s="20">
        <f t="shared" si="7"/>
        <v>30</v>
      </c>
      <c r="S66" s="20">
        <f t="shared" si="7"/>
        <v>1.7999999999999998</v>
      </c>
      <c r="T66" s="58"/>
    </row>
    <row r="67" spans="1:20" x14ac:dyDescent="0.35">
      <c r="A67" s="12"/>
      <c r="B67" s="43" t="s">
        <v>28</v>
      </c>
      <c r="C67" s="43"/>
      <c r="D67" s="43"/>
      <c r="E67" s="43"/>
      <c r="F67" s="43"/>
      <c r="G67" s="23"/>
      <c r="H67" s="20"/>
      <c r="I67" s="20"/>
      <c r="J67" s="20"/>
      <c r="K67" s="20"/>
      <c r="L67" s="21"/>
      <c r="M67" s="20"/>
      <c r="N67" s="21"/>
      <c r="O67" s="20"/>
      <c r="P67" s="22"/>
      <c r="Q67" s="22"/>
      <c r="R67" s="20"/>
      <c r="S67" s="20"/>
      <c r="T67" s="58"/>
    </row>
    <row r="68" spans="1:20" x14ac:dyDescent="0.35">
      <c r="A68" s="46" t="s">
        <v>22</v>
      </c>
      <c r="B68" s="52"/>
      <c r="C68" s="52"/>
      <c r="D68" s="52"/>
      <c r="E68" s="52"/>
      <c r="F68" s="53"/>
      <c r="G68" s="13"/>
      <c r="H68" s="20"/>
      <c r="I68" s="20"/>
      <c r="J68" s="20"/>
      <c r="K68" s="20"/>
      <c r="L68" s="21"/>
      <c r="M68" s="20"/>
      <c r="N68" s="21"/>
      <c r="O68" s="20"/>
      <c r="P68" s="22"/>
      <c r="Q68" s="22"/>
      <c r="R68" s="20"/>
      <c r="S68" s="20"/>
      <c r="T68" s="58"/>
    </row>
    <row r="69" spans="1:20" ht="17.25" customHeight="1" x14ac:dyDescent="0.35">
      <c r="A69" s="8" t="s">
        <v>78</v>
      </c>
      <c r="B69" s="36" t="s">
        <v>79</v>
      </c>
      <c r="C69" s="37"/>
      <c r="D69" s="37"/>
      <c r="E69" s="37"/>
      <c r="F69" s="38"/>
      <c r="G69" s="14">
        <v>100</v>
      </c>
      <c r="H69" s="7">
        <f>3.1</f>
        <v>3.1</v>
      </c>
      <c r="I69" s="7">
        <f>8.4</f>
        <v>8.4</v>
      </c>
      <c r="J69" s="7">
        <f>7</f>
        <v>7</v>
      </c>
      <c r="K69" s="7">
        <f>116</f>
        <v>116</v>
      </c>
      <c r="L69" s="15">
        <f>0.02</f>
        <v>0.02</v>
      </c>
      <c r="M69" s="7">
        <f>4.9</f>
        <v>4.9000000000000004</v>
      </c>
      <c r="N69" s="15">
        <f>20.2</f>
        <v>20.2</v>
      </c>
      <c r="O69" s="7">
        <f>3.6</f>
        <v>3.6</v>
      </c>
      <c r="P69" s="9">
        <f>100.1</f>
        <v>100.1</v>
      </c>
      <c r="Q69" s="9">
        <f>74.3</f>
        <v>74.3</v>
      </c>
      <c r="R69" s="7">
        <f>18.2</f>
        <v>18.2</v>
      </c>
      <c r="S69" s="7">
        <f>1.12</f>
        <v>1.1200000000000001</v>
      </c>
      <c r="T69" s="58"/>
    </row>
    <row r="70" spans="1:20" ht="33" customHeight="1" x14ac:dyDescent="0.35">
      <c r="A70" s="28" t="s">
        <v>70</v>
      </c>
      <c r="B70" s="36" t="s">
        <v>83</v>
      </c>
      <c r="C70" s="37"/>
      <c r="D70" s="37"/>
      <c r="E70" s="37"/>
      <c r="F70" s="38"/>
      <c r="G70" s="14">
        <v>250</v>
      </c>
      <c r="H70" s="7">
        <f>18*200/250+29.5*0.05</f>
        <v>15.875</v>
      </c>
      <c r="I70" s="7">
        <f>7*200/250+186.9*0.05</f>
        <v>14.945</v>
      </c>
      <c r="J70" s="7">
        <f>22*200/250+48.5*0.05</f>
        <v>20.025000000000002</v>
      </c>
      <c r="K70" s="7">
        <f>223*200/250+1994*0.05</f>
        <v>278.10000000000002</v>
      </c>
      <c r="L70" s="15">
        <f>0.34*200/250+0.31*0.05</f>
        <v>0.28750000000000003</v>
      </c>
      <c r="M70" s="7">
        <f>14.7*200/250+2*0.05</f>
        <v>11.86</v>
      </c>
      <c r="N70" s="15">
        <f>5770*200/250+1140*0.05</f>
        <v>4673</v>
      </c>
      <c r="O70" s="7">
        <f>1.4*200/250+4.2*0.05</f>
        <v>1.33</v>
      </c>
      <c r="P70" s="9">
        <f>41*200/250+846.8*0.05</f>
        <v>75.14</v>
      </c>
      <c r="Q70" s="9">
        <f>338*200/250+579.2*0.05</f>
        <v>299.35999999999996</v>
      </c>
      <c r="R70" s="7">
        <f>55*200/250+90.9*0.05</f>
        <v>48.545000000000002</v>
      </c>
      <c r="S70" s="7">
        <f>6.56*200/250+2.74*0.05</f>
        <v>5.3849999999999998</v>
      </c>
      <c r="T70" s="58"/>
    </row>
    <row r="71" spans="1:20" ht="15.75" customHeight="1" x14ac:dyDescent="0.35">
      <c r="A71" s="8" t="s">
        <v>4</v>
      </c>
      <c r="B71" s="39" t="s">
        <v>5</v>
      </c>
      <c r="C71" s="40"/>
      <c r="D71" s="40"/>
      <c r="E71" s="40"/>
      <c r="F71" s="41"/>
      <c r="G71" s="16" t="s">
        <v>45</v>
      </c>
      <c r="H71" s="7">
        <f>7.6*0.4</f>
        <v>3.04</v>
      </c>
      <c r="I71" s="7">
        <f>0.8*0.4</f>
        <v>0.32000000000000006</v>
      </c>
      <c r="J71" s="7">
        <f>49.2*0.4</f>
        <v>19.680000000000003</v>
      </c>
      <c r="K71" s="7">
        <f>235*0.35</f>
        <v>82.25</v>
      </c>
      <c r="L71" s="15">
        <f>0.11*0.4</f>
        <v>4.4000000000000004E-2</v>
      </c>
      <c r="M71" s="7">
        <v>0</v>
      </c>
      <c r="N71" s="15">
        <v>0</v>
      </c>
      <c r="O71" s="7">
        <f>1.1*0.4</f>
        <v>0.44000000000000006</v>
      </c>
      <c r="P71" s="9">
        <f>20*0.4</f>
        <v>8</v>
      </c>
      <c r="Q71" s="9">
        <f>65*0.4</f>
        <v>26</v>
      </c>
      <c r="R71" s="7">
        <f>14*0.4</f>
        <v>5.6000000000000005</v>
      </c>
      <c r="S71" s="7">
        <f>1.1*0.4</f>
        <v>0.44000000000000006</v>
      </c>
      <c r="T71" s="58"/>
    </row>
    <row r="72" spans="1:20" ht="15.75" customHeight="1" x14ac:dyDescent="0.35">
      <c r="A72" s="8" t="s">
        <v>0</v>
      </c>
      <c r="B72" s="39" t="s">
        <v>1</v>
      </c>
      <c r="C72" s="40"/>
      <c r="D72" s="40"/>
      <c r="E72" s="40"/>
      <c r="F72" s="41"/>
      <c r="G72" s="8">
        <v>20</v>
      </c>
      <c r="H72" s="7">
        <f>6.6*0.2</f>
        <v>1.32</v>
      </c>
      <c r="I72" s="7">
        <f>1.2*0.2</f>
        <v>0.24</v>
      </c>
      <c r="J72" s="7">
        <f>33.4*0.2</f>
        <v>6.68</v>
      </c>
      <c r="K72" s="7">
        <f>174*0.2</f>
        <v>34.800000000000004</v>
      </c>
      <c r="L72" s="15">
        <f>0.18*0.2</f>
        <v>3.5999999999999997E-2</v>
      </c>
      <c r="M72" s="7">
        <v>0</v>
      </c>
      <c r="N72" s="15">
        <v>0</v>
      </c>
      <c r="O72" s="7">
        <f>1.4*0.2</f>
        <v>0.27999999999999997</v>
      </c>
      <c r="P72" s="9">
        <f>35*0.2</f>
        <v>7</v>
      </c>
      <c r="Q72" s="9">
        <f>158*0.2</f>
        <v>31.6</v>
      </c>
      <c r="R72" s="7">
        <f>47*0.2</f>
        <v>9.4</v>
      </c>
      <c r="S72" s="7">
        <f>3.9*0.2</f>
        <v>0.78</v>
      </c>
      <c r="T72" s="58"/>
    </row>
    <row r="73" spans="1:20" ht="16.5" customHeight="1" x14ac:dyDescent="0.35">
      <c r="A73" s="8" t="s">
        <v>11</v>
      </c>
      <c r="B73" s="39" t="s">
        <v>48</v>
      </c>
      <c r="C73" s="40"/>
      <c r="D73" s="40"/>
      <c r="E73" s="40"/>
      <c r="F73" s="41"/>
      <c r="G73" s="16" t="s">
        <v>42</v>
      </c>
      <c r="H73" s="7">
        <v>0.5</v>
      </c>
      <c r="I73" s="7">
        <v>0.2</v>
      </c>
      <c r="J73" s="7">
        <v>23.1</v>
      </c>
      <c r="K73" s="7">
        <v>96</v>
      </c>
      <c r="L73" s="15">
        <v>0.02</v>
      </c>
      <c r="M73" s="7">
        <v>4.3</v>
      </c>
      <c r="N73" s="15">
        <v>0</v>
      </c>
      <c r="O73" s="33">
        <v>0.2</v>
      </c>
      <c r="P73" s="9">
        <v>22</v>
      </c>
      <c r="Q73" s="9">
        <v>16</v>
      </c>
      <c r="R73" s="7">
        <v>14</v>
      </c>
      <c r="S73" s="7">
        <v>1.1000000000000001</v>
      </c>
      <c r="T73" s="58"/>
    </row>
    <row r="74" spans="1:20" x14ac:dyDescent="0.35">
      <c r="A74" s="12"/>
      <c r="B74" s="43" t="s">
        <v>26</v>
      </c>
      <c r="C74" s="43"/>
      <c r="D74" s="43"/>
      <c r="E74" s="43"/>
      <c r="F74" s="43"/>
      <c r="G74" s="23"/>
      <c r="H74" s="20">
        <f t="shared" ref="H74:S74" si="8">SUM(H69:H73)</f>
        <v>23.835000000000001</v>
      </c>
      <c r="I74" s="20">
        <f t="shared" si="8"/>
        <v>24.104999999999997</v>
      </c>
      <c r="J74" s="20">
        <f t="shared" si="8"/>
        <v>76.485000000000014</v>
      </c>
      <c r="K74" s="20">
        <f t="shared" si="8"/>
        <v>607.15000000000009</v>
      </c>
      <c r="L74" s="21">
        <f t="shared" si="8"/>
        <v>0.40750000000000003</v>
      </c>
      <c r="M74" s="20">
        <f t="shared" si="8"/>
        <v>21.06</v>
      </c>
      <c r="N74" s="21">
        <f t="shared" si="8"/>
        <v>4693.2</v>
      </c>
      <c r="O74" s="20">
        <f t="shared" si="8"/>
        <v>5.8500000000000005</v>
      </c>
      <c r="P74" s="22">
        <f t="shared" si="8"/>
        <v>212.24</v>
      </c>
      <c r="Q74" s="22">
        <f t="shared" si="8"/>
        <v>447.26</v>
      </c>
      <c r="R74" s="20">
        <f t="shared" si="8"/>
        <v>95.745000000000005</v>
      </c>
      <c r="S74" s="20">
        <f t="shared" si="8"/>
        <v>8.8250000000000011</v>
      </c>
      <c r="T74" s="58"/>
    </row>
    <row r="75" spans="1:20" x14ac:dyDescent="0.35">
      <c r="A75" s="46" t="s">
        <v>23</v>
      </c>
      <c r="B75" s="52"/>
      <c r="C75" s="52"/>
      <c r="D75" s="52"/>
      <c r="E75" s="52"/>
      <c r="F75" s="53"/>
      <c r="G75" s="13"/>
      <c r="H75" s="20"/>
      <c r="I75" s="20"/>
      <c r="J75" s="20"/>
      <c r="K75" s="20"/>
      <c r="L75" s="21"/>
      <c r="M75" s="20"/>
      <c r="N75" s="21"/>
      <c r="O75" s="20"/>
      <c r="P75" s="22"/>
      <c r="Q75" s="22"/>
      <c r="R75" s="20"/>
      <c r="S75" s="20"/>
      <c r="T75" s="58"/>
    </row>
    <row r="76" spans="1:20" ht="18" customHeight="1" x14ac:dyDescent="0.35">
      <c r="A76" s="8" t="s">
        <v>10</v>
      </c>
      <c r="B76" s="36" t="s">
        <v>71</v>
      </c>
      <c r="C76" s="44"/>
      <c r="D76" s="44"/>
      <c r="E76" s="44"/>
      <c r="F76" s="45"/>
      <c r="G76" s="24">
        <v>200</v>
      </c>
      <c r="H76" s="7">
        <v>5.8</v>
      </c>
      <c r="I76" s="7">
        <v>5</v>
      </c>
      <c r="J76" s="7">
        <v>8.4</v>
      </c>
      <c r="K76" s="7">
        <v>102</v>
      </c>
      <c r="L76" s="15">
        <v>0.04</v>
      </c>
      <c r="M76" s="7">
        <v>0.6</v>
      </c>
      <c r="N76" s="15">
        <v>40</v>
      </c>
      <c r="O76" s="7">
        <v>0</v>
      </c>
      <c r="P76" s="9">
        <f>248</f>
        <v>248</v>
      </c>
      <c r="Q76" s="9">
        <v>184</v>
      </c>
      <c r="R76" s="7">
        <v>28</v>
      </c>
      <c r="S76" s="7">
        <v>0.2</v>
      </c>
      <c r="T76" s="58"/>
    </row>
    <row r="77" spans="1:20" x14ac:dyDescent="0.35">
      <c r="A77" s="10"/>
      <c r="B77" s="43" t="s">
        <v>27</v>
      </c>
      <c r="C77" s="43"/>
      <c r="D77" s="43"/>
      <c r="E77" s="43"/>
      <c r="F77" s="43"/>
      <c r="G77" s="6"/>
      <c r="H77" s="20">
        <f t="shared" ref="H77:S77" si="9">SUM(H76:H76)</f>
        <v>5.8</v>
      </c>
      <c r="I77" s="20">
        <f t="shared" si="9"/>
        <v>5</v>
      </c>
      <c r="J77" s="20">
        <f t="shared" si="9"/>
        <v>8.4</v>
      </c>
      <c r="K77" s="20">
        <f t="shared" si="9"/>
        <v>102</v>
      </c>
      <c r="L77" s="21">
        <f t="shared" si="9"/>
        <v>0.04</v>
      </c>
      <c r="M77" s="20">
        <f t="shared" si="9"/>
        <v>0.6</v>
      </c>
      <c r="N77" s="21">
        <f t="shared" si="9"/>
        <v>40</v>
      </c>
      <c r="O77" s="20">
        <f t="shared" si="9"/>
        <v>0</v>
      </c>
      <c r="P77" s="22">
        <f t="shared" si="9"/>
        <v>248</v>
      </c>
      <c r="Q77" s="22">
        <f t="shared" si="9"/>
        <v>184</v>
      </c>
      <c r="R77" s="20">
        <f t="shared" si="9"/>
        <v>28</v>
      </c>
      <c r="S77" s="20">
        <f t="shared" si="9"/>
        <v>0.2</v>
      </c>
      <c r="T77" s="58"/>
    </row>
    <row r="78" spans="1:20" x14ac:dyDescent="0.35">
      <c r="A78" s="46" t="s">
        <v>13</v>
      </c>
      <c r="B78" s="43"/>
      <c r="C78" s="43"/>
      <c r="D78" s="43"/>
      <c r="E78" s="43"/>
      <c r="F78" s="43"/>
      <c r="G78" s="47"/>
      <c r="H78" s="20">
        <f>H53+H62+H66+H74+H77</f>
        <v>100.75940000000001</v>
      </c>
      <c r="I78" s="20">
        <f>I53+I62+I66+I74+I77</f>
        <v>100.18800000000002</v>
      </c>
      <c r="J78" s="20">
        <f>J62+J53+J66+J74+J77</f>
        <v>399.709</v>
      </c>
      <c r="K78" s="20">
        <f>K62+K53+K66+K74+K77</f>
        <v>2910.59</v>
      </c>
      <c r="L78" s="21">
        <f>L53+L62+L66+L74+L77</f>
        <v>1.1961000000000002</v>
      </c>
      <c r="M78" s="20">
        <f>M53+M62+M66+M74+M77</f>
        <v>418.30000000000007</v>
      </c>
      <c r="N78" s="21">
        <f>N53+N62+N66+N74+N77</f>
        <v>4794.8674999999994</v>
      </c>
      <c r="O78" s="20">
        <f>O53+O62+O66+O74+O77</f>
        <v>19.190000000000001</v>
      </c>
      <c r="P78" s="22">
        <f>P62+P53+P66+P74+P77</f>
        <v>1257.1420000000001</v>
      </c>
      <c r="Q78" s="22">
        <f>Q53+Q62+Q66+Q74+Q77</f>
        <v>1908.204</v>
      </c>
      <c r="R78" s="20">
        <f>R53+R62+R66+R74+R77</f>
        <v>450.62900000000002</v>
      </c>
      <c r="S78" s="20">
        <f>S53+S62+S66+S74+S77</f>
        <v>21.970099999999999</v>
      </c>
      <c r="T78" s="59"/>
    </row>
  </sheetData>
  <mergeCells count="84">
    <mergeCell ref="P44:S44"/>
    <mergeCell ref="T44:T78"/>
    <mergeCell ref="B73:F73"/>
    <mergeCell ref="B51:F51"/>
    <mergeCell ref="B12:F12"/>
    <mergeCell ref="B56:F56"/>
    <mergeCell ref="B61:F61"/>
    <mergeCell ref="B67:F67"/>
    <mergeCell ref="B69:F69"/>
    <mergeCell ref="A63:F63"/>
    <mergeCell ref="T5:T39"/>
    <mergeCell ref="A36:F36"/>
    <mergeCell ref="A39:G39"/>
    <mergeCell ref="A44:A45"/>
    <mergeCell ref="B44:F45"/>
    <mergeCell ref="A78:G78"/>
    <mergeCell ref="B74:F74"/>
    <mergeCell ref="B76:F76"/>
    <mergeCell ref="B64:F64"/>
    <mergeCell ref="B66:F66"/>
    <mergeCell ref="B65:F65"/>
    <mergeCell ref="B77:F77"/>
    <mergeCell ref="B70:F70"/>
    <mergeCell ref="A75:F75"/>
    <mergeCell ref="A68:F68"/>
    <mergeCell ref="B50:F50"/>
    <mergeCell ref="B52:F52"/>
    <mergeCell ref="B53:F53"/>
    <mergeCell ref="B55:F55"/>
    <mergeCell ref="B62:F62"/>
    <mergeCell ref="B60:F60"/>
    <mergeCell ref="B57:F57"/>
    <mergeCell ref="B58:F58"/>
    <mergeCell ref="B59:F59"/>
    <mergeCell ref="A54:F54"/>
    <mergeCell ref="L44:O44"/>
    <mergeCell ref="H44:J44"/>
    <mergeCell ref="B46:F46"/>
    <mergeCell ref="A47:F47"/>
    <mergeCell ref="B49:F49"/>
    <mergeCell ref="B48:F48"/>
    <mergeCell ref="B17:F17"/>
    <mergeCell ref="B18:F18"/>
    <mergeCell ref="B21:F21"/>
    <mergeCell ref="B20:F20"/>
    <mergeCell ref="B19:F19"/>
    <mergeCell ref="B35:F35"/>
    <mergeCell ref="B31:F31"/>
    <mergeCell ref="B30:F30"/>
    <mergeCell ref="A29:F29"/>
    <mergeCell ref="K5:K6"/>
    <mergeCell ref="A15:F15"/>
    <mergeCell ref="H5:J5"/>
    <mergeCell ref="B32:F32"/>
    <mergeCell ref="B33:F33"/>
    <mergeCell ref="B10:F10"/>
    <mergeCell ref="B13:F13"/>
    <mergeCell ref="B28:F28"/>
    <mergeCell ref="A24:F24"/>
    <mergeCell ref="B26:F26"/>
    <mergeCell ref="B27:F27"/>
    <mergeCell ref="G44:G45"/>
    <mergeCell ref="K44:K45"/>
    <mergeCell ref="B34:F34"/>
    <mergeCell ref="B71:F71"/>
    <mergeCell ref="B72:F72"/>
    <mergeCell ref="L5:O5"/>
    <mergeCell ref="P5:S5"/>
    <mergeCell ref="A8:F8"/>
    <mergeCell ref="B14:F14"/>
    <mergeCell ref="B5:F6"/>
    <mergeCell ref="B9:F9"/>
    <mergeCell ref="G5:G6"/>
    <mergeCell ref="B11:F11"/>
    <mergeCell ref="A4:C4"/>
    <mergeCell ref="A43:C43"/>
    <mergeCell ref="B25:F25"/>
    <mergeCell ref="B7:F7"/>
    <mergeCell ref="A5:A6"/>
    <mergeCell ref="B16:F16"/>
    <mergeCell ref="B38:F38"/>
    <mergeCell ref="B37:F37"/>
    <mergeCell ref="B23:F23"/>
    <mergeCell ref="B22:F22"/>
  </mergeCells>
  <pageMargins left="1.0236220472440944" right="0.23622047244094491" top="0.59055118110236227" bottom="0.39370078740157483" header="0.31496062992125984" footer="0.31496062992125984"/>
  <pageSetup paperSize="9" scale="75" orientation="landscape" r:id="rId1"/>
  <headerFooter alignWithMargins="0"/>
  <rowBreaks count="1" manualBreakCount="1">
    <brk id="3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2023-09-21T08:58:52Z</dcterms:modified>
</cp:coreProperties>
</file>